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CA67803A-2104-4C35-B8E7-B518DEF62D0C}" xr6:coauthVersionLast="36" xr6:coauthVersionMax="36" xr10:uidLastSave="{00000000-0000-0000-0000-000000000000}"/>
  <bookViews>
    <workbookView xWindow="0" yWindow="0" windowWidth="21570" windowHeight="10500" xr2:uid="{BFBD9EDE-FC47-49BF-96FE-182E73BB21C3}"/>
  </bookViews>
  <sheets>
    <sheet name="Main" sheetId="1" r:id="rId1"/>
    <sheet name="Financial Model" sheetId="2" r:id="rId2"/>
    <sheet name="Order &amp; Backlo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7" i="2" l="1"/>
  <c r="R116" i="2"/>
  <c r="Q116" i="2"/>
  <c r="Q117" i="2" s="1"/>
  <c r="P116" i="2"/>
  <c r="P117" i="2" s="1"/>
  <c r="O116" i="2"/>
  <c r="O117" i="2" s="1"/>
  <c r="N116" i="2"/>
  <c r="N117" i="2" s="1"/>
  <c r="M116" i="2"/>
  <c r="M117" i="2" s="1"/>
  <c r="Q30" i="2" l="1"/>
  <c r="M26" i="2"/>
  <c r="M11" i="2"/>
  <c r="M34" i="2" s="1"/>
  <c r="R31" i="2"/>
  <c r="Q31" i="2"/>
  <c r="Q26" i="2"/>
  <c r="P26" i="2"/>
  <c r="Q11" i="2"/>
  <c r="Q34" i="2" s="1"/>
  <c r="S47" i="2"/>
  <c r="T47" i="2"/>
  <c r="Q47" i="2"/>
  <c r="P47" i="2"/>
  <c r="Q42" i="2"/>
  <c r="Q41" i="2" s="1"/>
  <c r="T42" i="2"/>
  <c r="S42" i="2"/>
  <c r="P42" i="2"/>
  <c r="Q18" i="2" l="1"/>
  <c r="M18" i="2"/>
  <c r="S116" i="2"/>
  <c r="T116" i="2"/>
  <c r="M35" i="2" l="1"/>
  <c r="M21" i="2"/>
  <c r="Q35" i="2"/>
  <c r="Q21" i="2"/>
  <c r="R34" i="2"/>
  <c r="R26" i="2"/>
  <c r="R11" i="2"/>
  <c r="R18" i="2" s="1"/>
  <c r="S26" i="2"/>
  <c r="S11" i="2"/>
  <c r="S18" i="2" s="1"/>
  <c r="S30" i="2"/>
  <c r="S31" i="2"/>
  <c r="T31" i="2"/>
  <c r="P31" i="2"/>
  <c r="O34" i="2"/>
  <c r="O26" i="2"/>
  <c r="O11" i="2"/>
  <c r="O18" i="2" s="1"/>
  <c r="S35" i="2" l="1"/>
  <c r="S21" i="2"/>
  <c r="R21" i="2"/>
  <c r="R35" i="2"/>
  <c r="O35" i="2"/>
  <c r="O21" i="2"/>
  <c r="M37" i="2"/>
  <c r="M23" i="2"/>
  <c r="M36" i="2" s="1"/>
  <c r="S34" i="2"/>
  <c r="Q37" i="2"/>
  <c r="Q23" i="2"/>
  <c r="Q36" i="2" s="1"/>
  <c r="T106" i="2"/>
  <c r="T107" i="2"/>
  <c r="C10" i="1" s="1"/>
  <c r="C26" i="1"/>
  <c r="T111" i="2"/>
  <c r="S107" i="2"/>
  <c r="S108" i="2" s="1"/>
  <c r="S117" i="2" s="1"/>
  <c r="T89" i="2"/>
  <c r="T98" i="2" s="1"/>
  <c r="T103" i="2" s="1"/>
  <c r="T104" i="2" s="1"/>
  <c r="T63" i="2"/>
  <c r="T75" i="2" s="1"/>
  <c r="S89" i="2"/>
  <c r="S98" i="2" s="1"/>
  <c r="S101" i="2" s="1"/>
  <c r="D10" i="1"/>
  <c r="D11" i="1"/>
  <c r="D9" i="1"/>
  <c r="S106" i="2"/>
  <c r="C9" i="1" s="1"/>
  <c r="P89" i="2"/>
  <c r="D7" i="1"/>
  <c r="S41" i="2"/>
  <c r="P41" i="2"/>
  <c r="T41" i="2"/>
  <c r="C33" i="1" l="1"/>
  <c r="T119" i="2"/>
  <c r="R23" i="2"/>
  <c r="R36" i="2" s="1"/>
  <c r="R37" i="2"/>
  <c r="O37" i="2"/>
  <c r="O23" i="2"/>
  <c r="O36" i="2" s="1"/>
  <c r="S37" i="2"/>
  <c r="S23" i="2"/>
  <c r="S36" i="2" s="1"/>
  <c r="T108" i="2"/>
  <c r="T117" i="2" s="1"/>
  <c r="T101" i="2"/>
  <c r="S103" i="2"/>
  <c r="S104" i="2" s="1"/>
  <c r="S119" i="2" s="1"/>
  <c r="P98" i="2"/>
  <c r="P101" i="2" s="1"/>
  <c r="S63" i="2"/>
  <c r="S75" i="2" s="1"/>
  <c r="P103" i="2" l="1"/>
  <c r="T30" i="2"/>
  <c r="T26" i="2"/>
  <c r="T11" i="2"/>
  <c r="T18" i="2" s="1"/>
  <c r="P11" i="2"/>
  <c r="P18" i="2" s="1"/>
  <c r="P21" i="2" s="1"/>
  <c r="P23" i="2" s="1"/>
  <c r="P36" i="2" s="1"/>
  <c r="C8" i="1"/>
  <c r="C11" i="1"/>
  <c r="T34" i="2" l="1"/>
  <c r="T21" i="2"/>
  <c r="T35" i="2"/>
  <c r="P37" i="2"/>
  <c r="P35" i="2"/>
  <c r="P34" i="2"/>
  <c r="C12" i="1"/>
  <c r="T37" i="2" l="1"/>
  <c r="T23" i="2"/>
  <c r="T36" i="2" s="1"/>
</calcChain>
</file>

<file path=xl/sharedStrings.xml><?xml version="1.0" encoding="utf-8"?>
<sst xmlns="http://schemas.openxmlformats.org/spreadsheetml/2006/main" count="212" uniqueCount="185">
  <si>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</si>
  <si>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</si>
  <si>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</si>
  <si>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</si>
  <si>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</si>
  <si>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</si>
  <si>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</si>
  <si>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</si>
  <si>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</si>
  <si>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</si>
  <si>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</si>
  <si>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</si>
  <si>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</si>
  <si>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</si>
  <si>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</si>
  <si>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</si>
  <si>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</si>
  <si>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</si>
  <si>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</si>
  <si>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</si>
  <si>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</si>
  <si>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</si>
  <si>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</si>
  <si>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</si>
  <si>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</si>
  <si>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</si>
  <si>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</si>
  <si>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</si>
  <si>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</si>
  <si>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</si>
  <si>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</si>
  <si>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</si>
  <si>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</si>
  <si>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</si>
  <si>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</si>
  <si>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</si>
  <si>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</si>
  <si>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</si>
  <si>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</si>
  <si>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</si>
  <si>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</si>
  <si>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</si>
  <si>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</si>
  <si>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</si>
  <si>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</si>
  <si>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</si>
  <si>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</si>
  <si>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</si>
  <si>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</si>
  <si>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</si>
  <si>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</si>
  <si>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</si>
  <si>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</si>
  <si>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</si>
  <si>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</si>
  <si>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</si>
  <si>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</si>
  <si>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</si>
  <si>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</si>
  <si>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</si>
  <si>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</si>
  <si>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</si>
  <si>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</si>
  <si>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</si>
  <si>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</si>
  <si>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</si>
  <si>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</si>
  <si>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</si>
  <si>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</si>
  <si>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</si>
  <si>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</si>
  <si>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</si>
  <si>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</si>
  <si>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</si>
  <si>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</si>
  <si>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</si>
  <si>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</si>
  <si>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</si>
  <si>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</si>
  <si>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</si>
  <si>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</si>
  <si>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</si>
  <si>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</si>
  <si>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</si>
  <si>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</si>
  <si>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</si>
  <si>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</si>
  <si>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</si>
  <si>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</si>
  <si>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</si>
  <si>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</si>
  <si>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</si>
  <si>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</si>
  <si>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</si>
  <si>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</si>
  <si>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</si>
  <si>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</si>
  <si>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</si>
  <si>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</si>
  <si>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</si>
  <si>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</si>
  <si>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</si>
  <si>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</si>
  <si>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</si>
  <si>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</si>
  <si>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</si>
  <si>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</si>
  <si>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</si>
  <si>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</si>
  <si>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</si>
  <si>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</si>
  <si>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</si>
  <si>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</si>
  <si>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</si>
  <si>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</si>
  <si>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</si>
  <si>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</si>
  <si>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</si>
  <si>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</si>
  <si>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</si>
  <si>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</si>
  <si>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</si>
  <si>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</si>
  <si>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</si>
  <si>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</si>
  <si>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</si>
  <si>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</si>
  <si>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</si>
  <si>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</si>
  <si>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</si>
  <si>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</si>
  <si>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</si>
  <si>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</si>
  <si>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</si>
  <si>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</si>
  <si>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</si>
  <si>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</si>
  <si>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</si>
  <si>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</si>
  <si>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</si>
  <si>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</si>
  <si>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</si>
  <si>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</si>
  <si>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</si>
  <si>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</si>
  <si>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</si>
  <si>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</si>
  <si>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</si>
  <si>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</si>
  <si>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</si>
  <si>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</si>
  <si>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</si>
  <si>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</si>
  <si>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</si>
  <si>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</si>
  <si>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</si>
  <si>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</si>
  <si>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</si>
  <si>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</si>
  <si>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</si>
  <si>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</si>
  <si>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</si>
  <si>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</si>
  <si>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</si>
  <si>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</si>
  <si>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</si>
  <si>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</si>
  <si>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</si>
  <si>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</si>
  <si>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</si>
  <si>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</si>
  <si>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</si>
  <si>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</si>
  <si>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</si>
  <si>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</si>
  <si>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</si>
  <si>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</si>
  <si>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https://api.mziq.com/mzfilemanager/v2/d/12a56b3a-7b37-4dba-b80a-f3358bf66b71/0552e176-6b29-4f1c-820c-8020af5b31eb?origin=1</t>
  </si>
  <si>
    <t>Share Price</t>
  </si>
  <si>
    <t>Market Cap</t>
  </si>
  <si>
    <t xml:space="preserve"> </t>
  </si>
  <si>
    <t>Q3</t>
  </si>
  <si>
    <t>https://api.mziq.com/mzfilemanager/v2/d/12a56b3a-7b37-4dba-b80a-f3358bf66b71/6180d10a-38ab-421f-9f8b-22fbb0bcd380?origin=1</t>
  </si>
  <si>
    <t>Embraer 190-E2</t>
  </si>
  <si>
    <t>Large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</si>
</sst>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000"/>
    <numFmt numFmtId="166" formatCode="0.0\x"/>
    <numFmt numFmtId="167" formatCode="0.0"/>
  </numFmts>
  <fonts count="12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3" fillId="0" borderId="0" xfId="0" applyFont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Border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 applyBorder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Border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Border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6" fontId="3" fillId="0" borderId="0" xfId="0" applyNumberFormat="1" applyFont="1"/>
    <xf numFmtId="0" fontId="11" fillId="0" borderId="0" xfId="1" applyFont="1" applyAlignment="1">
      <alignment horizontal="right"/>
    </xf>
    <xf numFmtId="167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7" xfId="0" applyFont="1" applyFill="1" applyBorder="1"/>
    <xf numFmtId="0" fontId="3" fillId="4" borderId="8" xfId="0" applyFont="1" applyFill="1" applyBorder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166" fontId="3" fillId="4" borderId="5" xfId="0" applyNumberFormat="1" applyFont="1" applyFill="1" applyBorder="1" applyAlignment="1">
      <alignment horizontal="center"/>
    </xf>
    <xf numFmtId="0" fontId="3" fillId="4" borderId="0" xfId="0" applyFont="1" applyFill="1" applyBorder="1"/>
    <xf numFmtId="0" fontId="3" fillId="4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0</xdr:rowOff>
    </xdr:from>
    <xdr:to>
      <xdr:col>20</xdr:col>
      <xdr:colOff>19050</xdr:colOff>
      <xdr:row>133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3315950" y="0"/>
          <a:ext cx="0" cy="215646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0</xdr:row>
      <xdr:rowOff>0</xdr:rowOff>
    </xdr:from>
    <xdr:to>
      <xdr:col>28</xdr:col>
      <xdr:colOff>0</xdr:colOff>
      <xdr:row>116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18173700" y="0"/>
          <a:ext cx="0" cy="177641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i.embraer.com.br/en/" TargetMode="External"/><Relationship Id="rId2" Type="http://schemas.openxmlformats.org/officeDocument/2006/relationships/hyperlink" Target="https://aviationsourcenews.com/news/royal-jordanian-signs-mou-for-10-embraer-e2-aircraft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oeing%E2%80%93Embraer_joint_ventur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X42"/>
  <sheetViews>
    <sheetView tabSelected="1" workbookViewId="0">
      <selection activeCell="C6" sqref="C6"/>
    </sheetView>
  </sheetViews>
  <sheetFormatPr defaultRowHeight="12.75"/>
  <cols>
    <col min="1" max="16384" width="9.140625" style="3"/>
  </cols>
  <sheetData>
    <row r="2" spans="1:24" ht="15">
      <c r="B2" s="1" t="s">
        <v>0</v>
      </c>
      <c r="D2"/>
    </row>
    <row r="3" spans="1:24">
      <c r="B3" s="2" t="s">
        <v>1</v>
      </c>
    </row>
    <row r="5" spans="1:24">
      <c r="B5" s="60" t="s">
        <v>2</v>
      </c>
      <c r="C5" s="61"/>
      <c r="D5" s="62"/>
      <c r="G5" s="60" t="s">
        <v>10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2"/>
      <c r="U5" s="60" t="s">
        <v>133</v>
      </c>
      <c r="V5" s="61"/>
      <c r="W5" s="61"/>
      <c r="X5" s="62"/>
    </row>
    <row r="6" spans="1:24">
      <c r="B6" s="4" t="s">
        <v>3</v>
      </c>
      <c r="C6" s="5">
        <v>9.4499999999999993</v>
      </c>
      <c r="D6" s="18"/>
      <c r="G6" s="9">
        <v>44470</v>
      </c>
      <c r="H6" s="7" t="s">
        <v>11</v>
      </c>
      <c r="I6" s="37"/>
      <c r="J6" s="37"/>
      <c r="K6" s="37"/>
      <c r="L6" s="37"/>
      <c r="M6" s="37"/>
      <c r="N6" s="37"/>
      <c r="O6" s="37"/>
      <c r="P6" s="37"/>
      <c r="Q6" s="37"/>
      <c r="R6" s="38"/>
      <c r="U6" s="41" t="s">
        <v>148</v>
      </c>
      <c r="V6" s="37"/>
      <c r="W6" s="37"/>
      <c r="X6" s="38"/>
    </row>
    <row r="7" spans="1:24">
      <c r="B7" s="4" t="s">
        <v>4</v>
      </c>
      <c r="C7" s="5">
        <v>734.6</v>
      </c>
      <c r="D7" s="18" t="str">
        <f>$C$28</f>
        <v>Q222</v>
      </c>
      <c r="G7" s="10"/>
      <c r="H7" s="8" t="s">
        <v>12</v>
      </c>
      <c r="I7" s="37"/>
      <c r="J7" s="37"/>
      <c r="K7" s="37"/>
      <c r="L7" s="37"/>
      <c r="M7" s="37"/>
      <c r="N7" s="37"/>
      <c r="O7" s="37"/>
      <c r="P7" s="37"/>
      <c r="Q7" s="37"/>
      <c r="R7" s="38"/>
      <c r="U7" s="46" t="s">
        <v>84</v>
      </c>
      <c r="V7" s="37"/>
      <c r="W7" s="37"/>
      <c r="X7" s="38"/>
    </row>
    <row r="8" spans="1:24">
      <c r="B8" s="4" t="s">
        <v>5</v>
      </c>
      <c r="C8" s="12">
        <f>C6*C7</f>
        <v>6941.9699999999993</v>
      </c>
      <c r="D8" s="18"/>
      <c r="G8" s="10"/>
      <c r="H8" s="8" t="s">
        <v>13</v>
      </c>
      <c r="I8" s="37"/>
      <c r="J8" s="37"/>
      <c r="K8" s="37"/>
      <c r="L8" s="37"/>
      <c r="M8" s="37"/>
      <c r="N8" s="37"/>
      <c r="O8" s="37"/>
      <c r="P8" s="37"/>
      <c r="Q8" s="37"/>
      <c r="R8" s="38"/>
      <c r="U8" s="45" t="s">
        <v>137</v>
      </c>
      <c r="V8" s="37"/>
      <c r="W8" s="37"/>
      <c r="X8" s="38"/>
    </row>
    <row r="9" spans="1:24">
      <c r="B9" s="4" t="s">
        <v>6</v>
      </c>
      <c r="C9" s="12">
        <f>'Financial Model'!S106</f>
        <v>2102.6</v>
      </c>
      <c r="D9" s="18" t="str">
        <f>$C$28</f>
        <v>Q222</v>
      </c>
      <c r="G9" s="10"/>
      <c r="H9" s="37"/>
      <c r="I9" s="37"/>
      <c r="J9" s="37"/>
      <c r="K9" s="37"/>
      <c r="L9" s="37"/>
      <c r="M9" s="37"/>
      <c r="N9" s="37"/>
      <c r="O9" s="37"/>
      <c r="P9" s="37"/>
      <c r="Q9" s="37"/>
      <c r="R9" s="38"/>
      <c r="U9" s="47" t="s">
        <v>151</v>
      </c>
      <c r="V9" s="37"/>
      <c r="W9" s="37"/>
      <c r="X9" s="38"/>
    </row>
    <row r="10" spans="1:24">
      <c r="B10" s="4" t="s">
        <v>7</v>
      </c>
      <c r="C10" s="12">
        <f>'Financial Model'!T107</f>
        <v>3173.8999999999996</v>
      </c>
      <c r="D10" s="18" t="str">
        <f>$C$28</f>
        <v>Q222</v>
      </c>
      <c r="G10" s="9">
        <v>44470</v>
      </c>
      <c r="H10" s="7" t="s">
        <v>29</v>
      </c>
      <c r="I10" s="37"/>
      <c r="J10" s="37"/>
      <c r="K10" s="37"/>
      <c r="L10" s="37"/>
      <c r="M10" s="37"/>
      <c r="N10" s="37"/>
      <c r="O10" s="37"/>
      <c r="P10" s="37"/>
      <c r="Q10" s="37"/>
      <c r="R10" s="38"/>
      <c r="U10" s="47" t="s">
        <v>152</v>
      </c>
      <c r="V10" s="37"/>
      <c r="W10" s="37"/>
      <c r="X10" s="38"/>
    </row>
    <row r="11" spans="1:24">
      <c r="B11" s="4" t="s">
        <v>8</v>
      </c>
      <c r="C11" s="12">
        <f>C9-C10</f>
        <v>-1071.2999999999997</v>
      </c>
      <c r="D11" s="18" t="str">
        <f>$C$28</f>
        <v>Q222</v>
      </c>
      <c r="G11" s="10"/>
      <c r="H11" s="8" t="s">
        <v>30</v>
      </c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47" t="s">
        <v>153</v>
      </c>
      <c r="V11" s="37"/>
      <c r="W11" s="37"/>
      <c r="X11" s="38"/>
    </row>
    <row r="12" spans="1:24">
      <c r="B12" s="6" t="s">
        <v>9</v>
      </c>
      <c r="C12" s="13">
        <f>C8-C11</f>
        <v>8013.2699999999986</v>
      </c>
      <c r="D12" s="19"/>
      <c r="G12" s="1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  <c r="U12" s="42"/>
      <c r="V12" s="37"/>
      <c r="W12" s="37"/>
      <c r="X12" s="38"/>
    </row>
    <row r="13" spans="1:24">
      <c r="G13" s="10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8"/>
      <c r="U13" s="45" t="s">
        <v>138</v>
      </c>
      <c r="V13" s="37"/>
      <c r="W13" s="37"/>
      <c r="X13" s="38"/>
    </row>
    <row r="14" spans="1:24">
      <c r="G14" s="10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8"/>
      <c r="U14" s="47" t="s">
        <v>154</v>
      </c>
      <c r="V14" s="37"/>
      <c r="W14" s="37"/>
      <c r="X14" s="38"/>
    </row>
    <row r="15" spans="1:24">
      <c r="B15" s="60" t="s">
        <v>14</v>
      </c>
      <c r="C15" s="61"/>
      <c r="D15" s="62"/>
      <c r="G15" s="10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8"/>
      <c r="U15" s="47" t="s">
        <v>155</v>
      </c>
      <c r="V15" s="37"/>
      <c r="W15" s="37"/>
      <c r="X15" s="38"/>
    </row>
    <row r="16" spans="1:24">
      <c r="A16" s="14" t="s">
        <v>16</v>
      </c>
      <c r="B16" s="16" t="s">
        <v>15</v>
      </c>
      <c r="C16" s="65" t="s">
        <v>18</v>
      </c>
      <c r="D16" s="66"/>
      <c r="G16" s="10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U16" s="47" t="s">
        <v>156</v>
      </c>
      <c r="V16" s="37"/>
      <c r="W16" s="37"/>
      <c r="X16" s="38"/>
    </row>
    <row r="17" spans="2:24">
      <c r="B17" s="16" t="s">
        <v>17</v>
      </c>
      <c r="C17" s="65" t="s">
        <v>19</v>
      </c>
      <c r="D17" s="66"/>
      <c r="G17" s="9">
        <v>43922</v>
      </c>
      <c r="H17" s="37" t="s">
        <v>164</v>
      </c>
      <c r="I17" s="37"/>
      <c r="J17" s="37"/>
      <c r="K17" s="37"/>
      <c r="L17" s="37"/>
      <c r="M17" s="37"/>
      <c r="N17" s="37"/>
      <c r="O17" s="37"/>
      <c r="P17" s="37"/>
      <c r="Q17" s="37"/>
      <c r="R17" s="38"/>
      <c r="U17" s="42"/>
      <c r="V17" s="37"/>
      <c r="W17" s="37"/>
      <c r="X17" s="38"/>
    </row>
    <row r="18" spans="2:24">
      <c r="B18" s="16"/>
      <c r="C18" s="65"/>
      <c r="D18" s="66"/>
      <c r="G18" s="10"/>
      <c r="H18" s="8" t="s">
        <v>169</v>
      </c>
      <c r="I18" s="37"/>
      <c r="J18" s="37"/>
      <c r="K18" s="37"/>
      <c r="L18" s="37"/>
      <c r="M18" s="37"/>
      <c r="N18" s="37"/>
      <c r="O18" s="37"/>
      <c r="P18" s="37"/>
      <c r="Q18" s="37"/>
      <c r="R18" s="38"/>
      <c r="U18" s="46" t="s">
        <v>139</v>
      </c>
      <c r="V18" s="37"/>
      <c r="W18" s="37"/>
      <c r="X18" s="38"/>
    </row>
    <row r="19" spans="2:24">
      <c r="B19" s="17"/>
      <c r="C19" s="67"/>
      <c r="D19" s="68"/>
      <c r="G19" s="10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51" t="s">
        <v>31</v>
      </c>
      <c r="U19" s="45" t="s">
        <v>142</v>
      </c>
      <c r="V19" s="37"/>
      <c r="W19" s="37"/>
      <c r="X19" s="38"/>
    </row>
    <row r="20" spans="2:24">
      <c r="G20" s="10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8"/>
      <c r="U20" s="45" t="s">
        <v>141</v>
      </c>
      <c r="V20" s="37"/>
      <c r="W20" s="37"/>
      <c r="X20" s="38"/>
    </row>
    <row r="21" spans="2:24">
      <c r="G21" s="10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U21" s="45" t="s">
        <v>140</v>
      </c>
      <c r="V21" s="37"/>
      <c r="W21" s="37"/>
      <c r="X21" s="38"/>
    </row>
    <row r="22" spans="2:24">
      <c r="B22" s="60" t="s">
        <v>20</v>
      </c>
      <c r="C22" s="61"/>
      <c r="D22" s="62"/>
      <c r="G22" s="10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  <c r="U22" s="45" t="s">
        <v>157</v>
      </c>
      <c r="V22" s="37"/>
      <c r="W22" s="37"/>
      <c r="X22" s="38"/>
    </row>
    <row r="23" spans="2:24">
      <c r="B23" s="10" t="s">
        <v>21</v>
      </c>
      <c r="C23" s="65" t="s">
        <v>132</v>
      </c>
      <c r="D23" s="66"/>
      <c r="G23" s="10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8"/>
      <c r="U23" s="42"/>
      <c r="V23" s="37"/>
      <c r="W23" s="37"/>
      <c r="X23" s="38"/>
    </row>
    <row r="24" spans="2:24">
      <c r="B24" s="10" t="s">
        <v>22</v>
      </c>
      <c r="C24" s="65">
        <v>1969</v>
      </c>
      <c r="D24" s="66"/>
      <c r="G24" s="10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46" t="s">
        <v>143</v>
      </c>
      <c r="V24" s="37"/>
      <c r="W24" s="37"/>
      <c r="X24" s="38"/>
    </row>
    <row r="25" spans="2:24">
      <c r="B25" s="10"/>
      <c r="C25" s="65"/>
      <c r="D25" s="66"/>
      <c r="G25" s="9">
        <v>43770</v>
      </c>
      <c r="H25" s="37" t="s">
        <v>167</v>
      </c>
      <c r="I25" s="37"/>
      <c r="J25" s="37"/>
      <c r="K25" s="37"/>
      <c r="L25" s="37"/>
      <c r="M25" s="37"/>
      <c r="N25" s="37"/>
      <c r="O25" s="37"/>
      <c r="P25" s="37"/>
      <c r="Q25" s="37"/>
      <c r="R25" s="38"/>
      <c r="U25" s="45" t="s">
        <v>144</v>
      </c>
      <c r="V25" s="37"/>
      <c r="W25" s="37"/>
      <c r="X25" s="38"/>
    </row>
    <row r="26" spans="2:24">
      <c r="B26" s="10" t="s">
        <v>171</v>
      </c>
      <c r="C26" s="63">
        <f>'Financial Model'!T59</f>
        <v>2392.9</v>
      </c>
      <c r="D26" s="64"/>
      <c r="G26" s="10"/>
      <c r="H26" s="50" t="s">
        <v>168</v>
      </c>
      <c r="I26" s="37"/>
      <c r="J26" s="37"/>
      <c r="K26" s="37"/>
      <c r="L26" s="37"/>
      <c r="M26" s="37"/>
      <c r="N26" s="37"/>
      <c r="O26" s="37"/>
      <c r="P26" s="37"/>
      <c r="Q26" s="37"/>
      <c r="R26" s="38"/>
      <c r="U26" s="45" t="s">
        <v>145</v>
      </c>
      <c r="V26" s="37"/>
      <c r="W26" s="37"/>
      <c r="X26" s="38"/>
    </row>
    <row r="27" spans="2:24">
      <c r="B27" s="10"/>
      <c r="C27" s="65"/>
      <c r="D27" s="66"/>
      <c r="G27" s="10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U27" s="45" t="s">
        <v>146</v>
      </c>
      <c r="V27" s="37"/>
      <c r="W27" s="37"/>
      <c r="X27" s="38"/>
    </row>
    <row r="28" spans="2:24">
      <c r="B28" s="10" t="s">
        <v>23</v>
      </c>
      <c r="C28" s="31" t="s">
        <v>49</v>
      </c>
      <c r="D28" s="32">
        <v>44777</v>
      </c>
      <c r="G28" s="9">
        <v>43586</v>
      </c>
      <c r="H28" s="37" t="s">
        <v>166</v>
      </c>
      <c r="I28" s="37"/>
      <c r="J28" s="37"/>
      <c r="K28" s="37"/>
      <c r="L28" s="37"/>
      <c r="M28" s="37"/>
      <c r="N28" s="37"/>
      <c r="O28" s="37"/>
      <c r="P28" s="37"/>
      <c r="Q28" s="37" t="s">
        <v>180</v>
      </c>
      <c r="R28" s="38"/>
      <c r="U28" s="45" t="s">
        <v>147</v>
      </c>
      <c r="V28" s="37"/>
      <c r="W28" s="37"/>
      <c r="X28" s="38"/>
    </row>
    <row r="29" spans="2:24">
      <c r="B29" s="11" t="s">
        <v>24</v>
      </c>
      <c r="C29" s="71" t="s">
        <v>31</v>
      </c>
      <c r="D29" s="72"/>
      <c r="G29" s="10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8"/>
      <c r="U29" s="42"/>
      <c r="V29" s="37"/>
      <c r="W29" s="37"/>
      <c r="X29" s="38"/>
    </row>
    <row r="30" spans="2:24">
      <c r="G30" s="10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42"/>
      <c r="V30" s="37"/>
      <c r="W30" s="37"/>
      <c r="X30" s="38"/>
    </row>
    <row r="31" spans="2:24">
      <c r="G31" s="10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8"/>
      <c r="U31" s="46" t="s">
        <v>149</v>
      </c>
      <c r="V31" s="37"/>
      <c r="W31" s="37"/>
      <c r="X31" s="38"/>
    </row>
    <row r="32" spans="2:24">
      <c r="B32" s="60" t="s">
        <v>25</v>
      </c>
      <c r="C32" s="61"/>
      <c r="D32" s="62"/>
      <c r="G32" s="10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8"/>
      <c r="U32" s="45" t="s">
        <v>150</v>
      </c>
      <c r="V32" s="37"/>
      <c r="W32" s="37"/>
      <c r="X32" s="38"/>
    </row>
    <row r="33" spans="2:24">
      <c r="B33" s="10" t="s">
        <v>26</v>
      </c>
      <c r="C33" s="73">
        <f>C6/'Financial Model'!T104</f>
        <v>2.4165314860584122</v>
      </c>
      <c r="D33" s="74"/>
      <c r="G33" s="10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8"/>
      <c r="U33" s="42"/>
      <c r="V33" s="37"/>
      <c r="W33" s="37"/>
      <c r="X33" s="38"/>
    </row>
    <row r="34" spans="2:24">
      <c r="B34" s="10" t="s">
        <v>27</v>
      </c>
      <c r="C34" s="75"/>
      <c r="D34" s="76"/>
      <c r="G34" s="9">
        <v>43282</v>
      </c>
      <c r="H34" s="37" t="s">
        <v>162</v>
      </c>
      <c r="I34" s="37"/>
      <c r="J34" s="37"/>
      <c r="K34" s="37"/>
      <c r="L34" s="37"/>
      <c r="M34" s="37"/>
      <c r="N34" s="37"/>
      <c r="O34" s="37"/>
      <c r="P34" s="37"/>
      <c r="Q34" s="37"/>
      <c r="R34" s="38"/>
      <c r="U34" s="43"/>
      <c r="V34" s="35"/>
      <c r="W34" s="35"/>
      <c r="X34" s="36"/>
    </row>
    <row r="35" spans="2:24">
      <c r="B35" s="11" t="s">
        <v>28</v>
      </c>
      <c r="C35" s="69"/>
      <c r="D35" s="70"/>
      <c r="G35" s="10"/>
      <c r="H35" s="8" t="s">
        <v>163</v>
      </c>
      <c r="I35" s="37"/>
      <c r="J35" s="37"/>
      <c r="K35" s="37"/>
      <c r="L35" s="37"/>
      <c r="M35" s="37"/>
      <c r="N35" s="37"/>
      <c r="O35" s="37"/>
      <c r="P35" s="37"/>
      <c r="Q35" s="37"/>
      <c r="R35" s="38"/>
    </row>
    <row r="36" spans="2:24">
      <c r="G36" s="11"/>
      <c r="H36" s="54" t="s">
        <v>165</v>
      </c>
      <c r="I36" s="35"/>
      <c r="J36" s="35"/>
      <c r="K36" s="35"/>
      <c r="L36" s="35"/>
      <c r="M36" s="35"/>
      <c r="N36" s="35"/>
      <c r="O36" s="35"/>
      <c r="P36" s="35"/>
      <c r="Q36" s="35"/>
      <c r="R36" s="36"/>
    </row>
    <row r="37" spans="2:24">
      <c r="U37" s="60" t="s">
        <v>158</v>
      </c>
      <c r="V37" s="61"/>
      <c r="W37" s="61"/>
      <c r="X37" s="62"/>
    </row>
    <row r="38" spans="2:24">
      <c r="U38" s="42" t="s">
        <v>159</v>
      </c>
      <c r="V38" s="37"/>
      <c r="W38" s="37"/>
      <c r="X38" s="38"/>
    </row>
    <row r="39" spans="2:24">
      <c r="U39" s="44" t="s">
        <v>160</v>
      </c>
      <c r="V39" s="37"/>
      <c r="W39" s="37"/>
      <c r="X39" s="38"/>
    </row>
    <row r="40" spans="2:24">
      <c r="U40" s="44" t="s">
        <v>161</v>
      </c>
      <c r="V40" s="37"/>
      <c r="W40" s="37"/>
      <c r="X40" s="38"/>
    </row>
    <row r="41" spans="2:24">
      <c r="U41" s="42"/>
      <c r="V41" s="37"/>
      <c r="W41" s="37"/>
      <c r="X41" s="38"/>
    </row>
    <row r="42" spans="2:24">
      <c r="U42" s="43"/>
      <c r="V42" s="35"/>
      <c r="W42" s="35"/>
      <c r="X42" s="36"/>
    </row>
  </sheetData>
  <mergeCells count="20">
    <mergeCell ref="U37:X37"/>
    <mergeCell ref="C35:D35"/>
    <mergeCell ref="C27:D27"/>
    <mergeCell ref="C29:D29"/>
    <mergeCell ref="B32:D32"/>
    <mergeCell ref="C33:D33"/>
    <mergeCell ref="C34:D34"/>
    <mergeCell ref="U5:X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</mergeCells>
  <hyperlinks>
    <hyperlink ref="H6" r:id="rId1" xr:uid="{0E1650AB-35EE-47C2-9B99-22A7BB88CC6F}"/>
    <hyperlink ref="H10" r:id="rId2" xr:uid="{64917365-2EAB-45F1-BFD3-E1E4F5A494BB}"/>
    <hyperlink ref="C29:D29" r:id="rId3" display="Link" xr:uid="{11C3F337-5FA5-4654-84A9-81E0FD7B340B}"/>
    <hyperlink ref="R19" r:id="rId4" location="Boeing_Embraer_-_Defense" xr:uid="{CC492105-8696-4FC6-849B-A673602C4CB8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L121"/>
  <sheetViews>
    <sheetView workbookViewId="0">
      <pane xSplit="2" ySplit="3" topLeftCell="C95" activePane="bottomRight" state="frozen"/>
      <selection pane="topRight" activeCell="C1" sqref="C1"/>
      <selection pane="bottomLeft" activeCell="A4" sqref="A4"/>
      <selection pane="bottomRight" activeCell="W118" sqref="W118"/>
    </sheetView>
  </sheetViews>
  <sheetFormatPr defaultRowHeight="12.75"/>
  <cols>
    <col min="1" max="1" width="4" style="3" customWidth="1"/>
    <col min="2" max="2" width="30.85546875" style="3" bestFit="1" customWidth="1"/>
    <col min="3" max="16384" width="9.140625" style="3"/>
  </cols>
  <sheetData>
    <row r="1" spans="2:38" s="15" customFormat="1">
      <c r="B1" s="53" t="s">
        <v>170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58" t="s">
        <v>46</v>
      </c>
      <c r="R1" s="15" t="s">
        <v>47</v>
      </c>
      <c r="S1" s="24" t="s">
        <v>48</v>
      </c>
      <c r="T1" s="24" t="s">
        <v>49</v>
      </c>
      <c r="U1" s="15" t="s">
        <v>75</v>
      </c>
      <c r="V1" s="15" t="s">
        <v>76</v>
      </c>
      <c r="Y1" s="15" t="s">
        <v>77</v>
      </c>
      <c r="Z1" s="15" t="s">
        <v>78</v>
      </c>
      <c r="AA1" s="15" t="s">
        <v>79</v>
      </c>
      <c r="AB1" s="15" t="s">
        <v>80</v>
      </c>
      <c r="AC1" s="15" t="s">
        <v>81</v>
      </c>
      <c r="AD1" s="15" t="s">
        <v>123</v>
      </c>
      <c r="AE1" s="15" t="s">
        <v>124</v>
      </c>
      <c r="AF1" s="15" t="s">
        <v>125</v>
      </c>
      <c r="AG1" s="15" t="s">
        <v>126</v>
      </c>
      <c r="AH1" s="15" t="s">
        <v>127</v>
      </c>
      <c r="AI1" s="15" t="s">
        <v>128</v>
      </c>
      <c r="AJ1" s="15" t="s">
        <v>129</v>
      </c>
      <c r="AK1" s="15" t="s">
        <v>130</v>
      </c>
      <c r="AL1" s="15" t="s">
        <v>131</v>
      </c>
    </row>
    <row r="2" spans="2:38" s="21" customFormat="1">
      <c r="B2" s="20"/>
      <c r="M2" s="22">
        <v>44104</v>
      </c>
      <c r="O2" s="22">
        <v>44286</v>
      </c>
      <c r="P2" s="22">
        <v>44377</v>
      </c>
      <c r="Q2" s="22">
        <v>44469</v>
      </c>
      <c r="R2" s="22">
        <v>44196</v>
      </c>
      <c r="S2" s="22">
        <v>44651</v>
      </c>
      <c r="T2" s="22">
        <v>44742</v>
      </c>
    </row>
    <row r="3" spans="2:38" s="21" customFormat="1">
      <c r="B3" s="20"/>
      <c r="P3" s="23"/>
      <c r="Q3" s="23">
        <v>44505</v>
      </c>
      <c r="S3" s="23">
        <v>44679</v>
      </c>
      <c r="T3" s="23">
        <v>44777</v>
      </c>
    </row>
    <row r="4" spans="2:38" s="52" customFormat="1">
      <c r="B4" s="55" t="s">
        <v>172</v>
      </c>
      <c r="M4" s="52">
        <v>177.2</v>
      </c>
      <c r="O4" s="52">
        <v>272.2</v>
      </c>
      <c r="P4" s="52">
        <v>388.5</v>
      </c>
      <c r="Q4" s="52">
        <v>242</v>
      </c>
      <c r="R4" s="52">
        <v>413.7</v>
      </c>
      <c r="S4" s="52">
        <v>169.2</v>
      </c>
      <c r="T4" s="52">
        <v>299.89999999999998</v>
      </c>
    </row>
    <row r="5" spans="2:38" s="52" customFormat="1">
      <c r="B5" s="55" t="s">
        <v>173</v>
      </c>
      <c r="M5" s="52">
        <v>212.3</v>
      </c>
      <c r="O5" s="52">
        <v>152.1</v>
      </c>
      <c r="P5" s="52">
        <v>266.2</v>
      </c>
      <c r="Q5" s="52">
        <v>256.39999999999998</v>
      </c>
      <c r="R5" s="52">
        <v>455.4</v>
      </c>
      <c r="S5" s="52">
        <v>89.9</v>
      </c>
      <c r="T5" s="52">
        <v>266.7</v>
      </c>
    </row>
    <row r="6" spans="2:38" s="52" customFormat="1">
      <c r="B6" s="55" t="s">
        <v>174</v>
      </c>
      <c r="M6" s="52">
        <v>154.69999999999999</v>
      </c>
      <c r="O6" s="52">
        <v>128.5</v>
      </c>
      <c r="P6" s="52">
        <v>174.9</v>
      </c>
      <c r="Q6" s="52">
        <v>176.5</v>
      </c>
      <c r="R6" s="52">
        <v>114.5</v>
      </c>
      <c r="S6" s="52">
        <v>68.3</v>
      </c>
      <c r="T6" s="52">
        <v>126.6</v>
      </c>
    </row>
    <row r="7" spans="2:38" s="52" customFormat="1">
      <c r="B7" s="55" t="s">
        <v>175</v>
      </c>
      <c r="M7" s="52">
        <v>212.9</v>
      </c>
      <c r="O7" s="52">
        <v>250.6</v>
      </c>
      <c r="P7" s="52">
        <v>298</v>
      </c>
      <c r="Q7" s="52">
        <v>276.2</v>
      </c>
      <c r="R7" s="52">
        <v>307.39999999999998</v>
      </c>
      <c r="S7" s="52">
        <v>271.2</v>
      </c>
      <c r="T7" s="52">
        <v>320.10000000000002</v>
      </c>
    </row>
    <row r="8" spans="2:38" s="52" customFormat="1">
      <c r="B8" s="55" t="s">
        <v>176</v>
      </c>
      <c r="M8" s="52">
        <v>1.6</v>
      </c>
      <c r="O8" s="52">
        <v>3.9</v>
      </c>
      <c r="P8" s="52">
        <v>2.9</v>
      </c>
      <c r="Q8" s="52">
        <v>7</v>
      </c>
      <c r="R8" s="52">
        <v>10.3</v>
      </c>
      <c r="S8" s="52">
        <v>2.2999999999999998</v>
      </c>
      <c r="T8" s="52">
        <v>5.6</v>
      </c>
    </row>
    <row r="9" spans="2:38" s="26" customFormat="1">
      <c r="B9" s="26" t="s">
        <v>50</v>
      </c>
      <c r="C9" s="56"/>
      <c r="M9" s="26">
        <v>758.7</v>
      </c>
      <c r="O9" s="26">
        <v>807.3</v>
      </c>
      <c r="P9" s="26">
        <v>1130.5</v>
      </c>
      <c r="Q9" s="26">
        <v>958.1</v>
      </c>
      <c r="R9" s="26">
        <v>1301.3</v>
      </c>
      <c r="S9" s="26">
        <v>600.9</v>
      </c>
      <c r="T9" s="26">
        <v>1018.9</v>
      </c>
    </row>
    <row r="10" spans="2:38">
      <c r="B10" s="3" t="s">
        <v>51</v>
      </c>
      <c r="M10" s="27">
        <v>703.9</v>
      </c>
      <c r="O10" s="3">
        <v>730.9</v>
      </c>
      <c r="P10" s="27">
        <v>924.8</v>
      </c>
      <c r="Q10" s="3">
        <v>776.4</v>
      </c>
      <c r="R10" s="3">
        <v>1105.5</v>
      </c>
      <c r="S10" s="3">
        <v>480.2</v>
      </c>
      <c r="T10" s="27">
        <v>785.6</v>
      </c>
    </row>
    <row r="11" spans="2:38" s="2" customFormat="1">
      <c r="B11" s="2" t="s">
        <v>52</v>
      </c>
      <c r="M11" s="26">
        <f>M9-M10</f>
        <v>54.800000000000068</v>
      </c>
      <c r="O11" s="26">
        <f t="shared" ref="O11:T11" si="0">O9-O10</f>
        <v>76.399999999999977</v>
      </c>
      <c r="P11" s="26">
        <f t="shared" si="0"/>
        <v>205.70000000000005</v>
      </c>
      <c r="Q11" s="26">
        <f t="shared" si="0"/>
        <v>181.70000000000005</v>
      </c>
      <c r="R11" s="26">
        <f t="shared" si="0"/>
        <v>195.79999999999995</v>
      </c>
      <c r="S11" s="26">
        <f t="shared" si="0"/>
        <v>120.69999999999999</v>
      </c>
      <c r="T11" s="26">
        <f t="shared" si="0"/>
        <v>233.29999999999995</v>
      </c>
    </row>
    <row r="12" spans="2:38">
      <c r="B12" s="3" t="s">
        <v>54</v>
      </c>
      <c r="M12" s="27">
        <v>35</v>
      </c>
      <c r="O12" s="3">
        <v>34.4</v>
      </c>
      <c r="P12" s="27">
        <v>40.799999999999997</v>
      </c>
      <c r="Q12" s="3">
        <v>35.700000000000003</v>
      </c>
      <c r="R12" s="3">
        <v>42.3</v>
      </c>
      <c r="S12" s="3">
        <v>39.700000000000003</v>
      </c>
      <c r="T12" s="27">
        <v>43.9</v>
      </c>
    </row>
    <row r="13" spans="2:38">
      <c r="B13" s="3" t="s">
        <v>55</v>
      </c>
      <c r="M13" s="27">
        <v>45.4</v>
      </c>
      <c r="O13" s="3">
        <v>45.8</v>
      </c>
      <c r="P13" s="27">
        <v>50.2</v>
      </c>
      <c r="Q13" s="3">
        <v>59.7</v>
      </c>
      <c r="R13" s="3">
        <v>70.7</v>
      </c>
      <c r="S13" s="3">
        <v>53.8</v>
      </c>
      <c r="T13" s="27">
        <v>67.400000000000006</v>
      </c>
    </row>
    <row r="14" spans="2:38">
      <c r="B14" s="3" t="s">
        <v>56</v>
      </c>
      <c r="M14" s="27">
        <v>14</v>
      </c>
      <c r="O14" s="3">
        <v>0.1</v>
      </c>
      <c r="P14" s="27">
        <v>-2.2999999999999998</v>
      </c>
      <c r="Q14" s="3">
        <v>-1.8</v>
      </c>
      <c r="R14" s="3">
        <v>-9</v>
      </c>
      <c r="S14" s="3">
        <v>1.1000000000000001</v>
      </c>
      <c r="T14" s="27">
        <v>21.3</v>
      </c>
    </row>
    <row r="15" spans="2:38">
      <c r="B15" s="3" t="s">
        <v>57</v>
      </c>
      <c r="M15" s="27">
        <v>7.1</v>
      </c>
      <c r="O15" s="3">
        <v>8.4</v>
      </c>
      <c r="P15" s="27">
        <v>9.3000000000000007</v>
      </c>
      <c r="Q15" s="3">
        <v>10.3</v>
      </c>
      <c r="R15" s="59">
        <v>15</v>
      </c>
      <c r="S15" s="59">
        <v>17.399999999999999</v>
      </c>
      <c r="T15" s="27">
        <v>24.9</v>
      </c>
    </row>
    <row r="16" spans="2:38">
      <c r="B16" s="3" t="s">
        <v>58</v>
      </c>
      <c r="M16" s="27">
        <v>9.1</v>
      </c>
      <c r="O16" s="3">
        <v>-21.8</v>
      </c>
      <c r="P16" s="27">
        <v>35.5</v>
      </c>
      <c r="Q16" s="3">
        <v>-49.1</v>
      </c>
      <c r="R16" s="3">
        <v>-14.4</v>
      </c>
      <c r="S16" s="3">
        <v>-46.2</v>
      </c>
      <c r="T16" s="27">
        <v>-13.5</v>
      </c>
    </row>
    <row r="17" spans="2:20">
      <c r="B17" s="3" t="s">
        <v>59</v>
      </c>
      <c r="M17" s="27">
        <v>-0.1</v>
      </c>
      <c r="O17" s="3">
        <v>1</v>
      </c>
      <c r="P17" s="27">
        <v>0.6</v>
      </c>
      <c r="Q17" s="3">
        <v>1.3</v>
      </c>
      <c r="R17" s="3">
        <v>-1.8</v>
      </c>
      <c r="S17" s="27">
        <v>1.2</v>
      </c>
      <c r="T17" s="27">
        <v>4.4000000000000004</v>
      </c>
    </row>
    <row r="18" spans="2:20" s="2" customFormat="1">
      <c r="B18" s="2" t="s">
        <v>53</v>
      </c>
      <c r="M18" s="26">
        <f>M11-M12-M13-M14-M15+M16+M17</f>
        <v>-37.699999999999932</v>
      </c>
      <c r="O18" s="26">
        <f t="shared" ref="O18:T18" si="1">O11-O12-O13-O14-O15+O16+O17</f>
        <v>-33.100000000000023</v>
      </c>
      <c r="P18" s="26">
        <f t="shared" si="1"/>
        <v>143.80000000000004</v>
      </c>
      <c r="Q18" s="26">
        <f t="shared" si="1"/>
        <v>30.000000000000053</v>
      </c>
      <c r="R18" s="26">
        <f t="shared" si="1"/>
        <v>60.599999999999945</v>
      </c>
      <c r="S18" s="26">
        <f t="shared" si="1"/>
        <v>-36.300000000000011</v>
      </c>
      <c r="T18" s="26">
        <f t="shared" si="1"/>
        <v>66.69999999999996</v>
      </c>
    </row>
    <row r="19" spans="2:20">
      <c r="B19" s="3" t="s">
        <v>60</v>
      </c>
      <c r="M19" s="27">
        <v>-94.6</v>
      </c>
      <c r="O19" s="3">
        <v>-75.400000000000006</v>
      </c>
      <c r="P19" s="27">
        <v>-65.5</v>
      </c>
      <c r="Q19" s="3">
        <v>-51.7</v>
      </c>
      <c r="R19" s="3">
        <v>-6.8</v>
      </c>
      <c r="S19" s="3">
        <v>-65.599999999999994</v>
      </c>
      <c r="T19" s="27">
        <v>-38</v>
      </c>
    </row>
    <row r="20" spans="2:20">
      <c r="B20" s="3" t="s">
        <v>61</v>
      </c>
      <c r="M20" s="27">
        <v>-16.3</v>
      </c>
      <c r="O20" s="3">
        <v>19.600000000000001</v>
      </c>
      <c r="P20" s="27">
        <v>5.3</v>
      </c>
      <c r="Q20" s="3">
        <v>-3.3</v>
      </c>
      <c r="R20" s="3">
        <v>3.9</v>
      </c>
      <c r="S20" s="3">
        <v>20.9</v>
      </c>
      <c r="T20" s="27">
        <v>20.8</v>
      </c>
    </row>
    <row r="21" spans="2:20">
      <c r="B21" s="3" t="s">
        <v>62</v>
      </c>
      <c r="M21" s="27">
        <f>M18+M19+M20</f>
        <v>-148.59999999999994</v>
      </c>
      <c r="O21" s="27">
        <f t="shared" ref="O21:T21" si="2">O18+O19+O20</f>
        <v>-88.900000000000034</v>
      </c>
      <c r="P21" s="27">
        <f t="shared" si="2"/>
        <v>83.600000000000037</v>
      </c>
      <c r="Q21" s="27">
        <f t="shared" si="2"/>
        <v>-24.99999999999995</v>
      </c>
      <c r="R21" s="27">
        <f t="shared" si="2"/>
        <v>57.699999999999946</v>
      </c>
      <c r="S21" s="27">
        <f t="shared" si="2"/>
        <v>-81</v>
      </c>
      <c r="T21" s="27">
        <f t="shared" si="2"/>
        <v>49.499999999999957</v>
      </c>
    </row>
    <row r="22" spans="2:20">
      <c r="B22" s="3" t="s">
        <v>63</v>
      </c>
      <c r="M22" s="27">
        <v>-29.1</v>
      </c>
      <c r="O22" s="3">
        <v>1.1000000000000001</v>
      </c>
      <c r="P22" s="27">
        <v>-5.6</v>
      </c>
      <c r="Q22" s="3">
        <v>20.7</v>
      </c>
      <c r="R22" s="3">
        <v>54.7</v>
      </c>
      <c r="S22" s="3">
        <v>-50.3</v>
      </c>
      <c r="T22" s="27">
        <v>-24.6</v>
      </c>
    </row>
    <row r="23" spans="2:20" s="2" customFormat="1">
      <c r="B23" s="2" t="s">
        <v>64</v>
      </c>
      <c r="M23" s="26">
        <f>M21-M22</f>
        <v>-119.49999999999994</v>
      </c>
      <c r="O23" s="26">
        <f t="shared" ref="O23:T23" si="3">O21-O22</f>
        <v>-90.000000000000028</v>
      </c>
      <c r="P23" s="26">
        <f t="shared" si="3"/>
        <v>89.200000000000031</v>
      </c>
      <c r="Q23" s="26">
        <f t="shared" si="3"/>
        <v>-45.699999999999946</v>
      </c>
      <c r="R23" s="26">
        <f t="shared" si="3"/>
        <v>2.9999999999999432</v>
      </c>
      <c r="S23" s="26">
        <f t="shared" si="3"/>
        <v>-30.700000000000003</v>
      </c>
      <c r="T23" s="26">
        <f t="shared" si="3"/>
        <v>74.099999999999966</v>
      </c>
    </row>
    <row r="24" spans="2:20" s="2" customFormat="1">
      <c r="B24" s="29" t="s">
        <v>72</v>
      </c>
      <c r="M24" s="26">
        <v>-121.2</v>
      </c>
      <c r="O24" s="2">
        <v>-89.7</v>
      </c>
      <c r="P24" s="26">
        <v>87.9</v>
      </c>
      <c r="Q24" s="2">
        <v>-45</v>
      </c>
      <c r="R24" s="2">
        <v>2.1</v>
      </c>
      <c r="S24" s="2">
        <v>-31.7</v>
      </c>
      <c r="T24" s="26">
        <v>74.2</v>
      </c>
    </row>
    <row r="25" spans="2:20">
      <c r="B25" s="30" t="s">
        <v>73</v>
      </c>
      <c r="M25" s="27">
        <v>1.7</v>
      </c>
      <c r="O25" s="3">
        <v>-0.3</v>
      </c>
      <c r="P25" s="27">
        <v>1.3</v>
      </c>
      <c r="Q25" s="3">
        <v>-0.7</v>
      </c>
      <c r="R25" s="3">
        <v>0.9</v>
      </c>
      <c r="S25" s="27">
        <v>1</v>
      </c>
      <c r="T25" s="27">
        <v>-0.1</v>
      </c>
    </row>
    <row r="26" spans="2:20">
      <c r="B26" s="3" t="s">
        <v>65</v>
      </c>
      <c r="M26" s="28">
        <f>M24/M27</f>
        <v>-0.16462917685411571</v>
      </c>
      <c r="O26" s="28">
        <f t="shared" ref="O26:T26" si="4">O24/O27</f>
        <v>-0.12204081632653062</v>
      </c>
      <c r="P26" s="28">
        <f t="shared" si="4"/>
        <v>0.11962438758845946</v>
      </c>
      <c r="Q26" s="28">
        <f t="shared" si="4"/>
        <v>-6.1241154055525319E-2</v>
      </c>
      <c r="R26" s="28">
        <f t="shared" si="4"/>
        <v>2.8583095140873828E-3</v>
      </c>
      <c r="S26" s="28">
        <f t="shared" si="4"/>
        <v>-4.3152736182956709E-2</v>
      </c>
      <c r="T26" s="28">
        <f t="shared" si="4"/>
        <v>0.10100735093928669</v>
      </c>
    </row>
    <row r="27" spans="2:20">
      <c r="B27" s="3" t="s">
        <v>4</v>
      </c>
      <c r="M27" s="3">
        <v>736.2</v>
      </c>
      <c r="O27" s="27">
        <v>735</v>
      </c>
      <c r="P27" s="27">
        <v>734.8</v>
      </c>
      <c r="Q27" s="3">
        <v>734.8</v>
      </c>
      <c r="R27" s="3">
        <v>734.7</v>
      </c>
      <c r="S27" s="3">
        <v>734.6</v>
      </c>
      <c r="T27" s="3">
        <v>734.6</v>
      </c>
    </row>
    <row r="30" spans="2:20" s="2" customFormat="1">
      <c r="B30" s="2" t="s">
        <v>66</v>
      </c>
      <c r="Q30" s="34">
        <f>Q9/M9-1</f>
        <v>0.26281797812046914</v>
      </c>
      <c r="R30" s="34"/>
      <c r="S30" s="34">
        <f>S9/O9-1</f>
        <v>-0.25566703827573389</v>
      </c>
      <c r="T30" s="34">
        <f>T9/P9-1</f>
        <v>-9.8717381689517936E-2</v>
      </c>
    </row>
    <row r="31" spans="2:20" s="25" customFormat="1">
      <c r="B31" s="25" t="s">
        <v>67</v>
      </c>
      <c r="P31" s="25">
        <f>P9/O9-1</f>
        <v>0.40034683512944391</v>
      </c>
      <c r="Q31" s="25">
        <f t="shared" ref="Q31:R31" si="5">Q9/P9-1</f>
        <v>-0.15249889429455987</v>
      </c>
      <c r="R31" s="25">
        <f t="shared" si="5"/>
        <v>0.35820895522388052</v>
      </c>
      <c r="S31" s="25">
        <f>S9/R9-1</f>
        <v>-0.53823099976946132</v>
      </c>
      <c r="T31" s="25">
        <f>T9/S9-1</f>
        <v>0.69562323181893837</v>
      </c>
    </row>
    <row r="34" spans="2:20">
      <c r="B34" s="3" t="s">
        <v>68</v>
      </c>
      <c r="M34" s="25">
        <f>M11/M9</f>
        <v>7.2228812442335658E-2</v>
      </c>
      <c r="O34" s="25">
        <f>O11/O9</f>
        <v>9.4636442462529391E-2</v>
      </c>
      <c r="P34" s="25">
        <f>P11/P9</f>
        <v>0.18195488721804515</v>
      </c>
      <c r="Q34" s="25">
        <f t="shared" ref="Q34:R34" si="6">Q11/Q9</f>
        <v>0.18964617472080164</v>
      </c>
      <c r="R34" s="25">
        <f t="shared" si="6"/>
        <v>0.1504649196956889</v>
      </c>
      <c r="S34" s="25">
        <f t="shared" ref="S34" si="7">S11/S9</f>
        <v>0.20086536861374604</v>
      </c>
      <c r="T34" s="25">
        <f>T11/T9</f>
        <v>0.2289724212385906</v>
      </c>
    </row>
    <row r="35" spans="2:20">
      <c r="B35" s="3" t="s">
        <v>69</v>
      </c>
      <c r="M35" s="25">
        <f>M18/M9</f>
        <v>-4.9690259654672372E-2</v>
      </c>
      <c r="O35" s="25">
        <f>O18/O9</f>
        <v>-4.1000867087823641E-2</v>
      </c>
      <c r="P35" s="25">
        <f>P18/P9</f>
        <v>0.12720035382574085</v>
      </c>
      <c r="Q35" s="25">
        <f t="shared" ref="Q35:R35" si="8">Q18/Q9</f>
        <v>3.1311971610479127E-2</v>
      </c>
      <c r="R35" s="25">
        <f t="shared" si="8"/>
        <v>4.6568815799584988E-2</v>
      </c>
      <c r="S35" s="25">
        <f t="shared" ref="S35" si="9">S18/S9</f>
        <v>-6.0409385921118344E-2</v>
      </c>
      <c r="T35" s="25">
        <f>T18/T9</f>
        <v>6.5462753950338556E-2</v>
      </c>
    </row>
    <row r="36" spans="2:20">
      <c r="B36" s="3" t="s">
        <v>70</v>
      </c>
      <c r="M36" s="25">
        <f>M23/M9</f>
        <v>-0.15750626070910759</v>
      </c>
      <c r="O36" s="25">
        <f>O23/O9</f>
        <v>-0.11148272017837239</v>
      </c>
      <c r="P36" s="25">
        <f>P23/P9</f>
        <v>7.8903140203449823E-2</v>
      </c>
      <c r="Q36" s="25">
        <f t="shared" ref="Q36:R36" si="10">Q23/Q9</f>
        <v>-4.7698570086629734E-2</v>
      </c>
      <c r="R36" s="25">
        <f t="shared" si="10"/>
        <v>2.3053869207714925E-3</v>
      </c>
      <c r="S36" s="25">
        <f t="shared" ref="S36" si="11">S23/S9</f>
        <v>-5.1090031619237815E-2</v>
      </c>
      <c r="T36" s="25">
        <f>T23/T9</f>
        <v>7.2725488271665487E-2</v>
      </c>
    </row>
    <row r="37" spans="2:20">
      <c r="B37" s="3" t="s">
        <v>71</v>
      </c>
      <c r="M37" s="25">
        <f>M22/M21</f>
        <v>0.19582772543741597</v>
      </c>
      <c r="O37" s="25">
        <f>O22/O21</f>
        <v>-1.2373453318335205E-2</v>
      </c>
      <c r="P37" s="25">
        <f>P22/P21</f>
        <v>-6.6985645933014315E-2</v>
      </c>
      <c r="Q37" s="25">
        <f t="shared" ref="Q37:R37" si="12">Q22/Q21</f>
        <v>-0.82800000000000162</v>
      </c>
      <c r="R37" s="25">
        <f t="shared" si="12"/>
        <v>0.94800693240901301</v>
      </c>
      <c r="S37" s="25">
        <f t="shared" ref="S37" si="13">S22/S21</f>
        <v>0.62098765432098757</v>
      </c>
      <c r="T37" s="25">
        <f>T22/T21</f>
        <v>-0.49696969696969745</v>
      </c>
    </row>
    <row r="40" spans="2:20">
      <c r="B40" s="33" t="s">
        <v>82</v>
      </c>
    </row>
    <row r="41" spans="2:20" s="2" customFormat="1">
      <c r="B41" s="29" t="s">
        <v>83</v>
      </c>
      <c r="P41" s="2">
        <f t="shared" ref="P41:S41" si="14">P42+P47</f>
        <v>34</v>
      </c>
      <c r="Q41" s="2">
        <f t="shared" si="14"/>
        <v>30</v>
      </c>
      <c r="S41" s="2">
        <f t="shared" si="14"/>
        <v>26</v>
      </c>
      <c r="T41" s="2">
        <f>T42+T47</f>
        <v>32</v>
      </c>
    </row>
    <row r="42" spans="2:20" s="40" customFormat="1">
      <c r="B42" s="49" t="s">
        <v>84</v>
      </c>
      <c r="P42" s="40">
        <f>P43+P44+P45</f>
        <v>14</v>
      </c>
      <c r="Q42" s="40">
        <f>Q43+Q44+Q45</f>
        <v>9</v>
      </c>
      <c r="S42" s="40">
        <f t="shared" ref="S42:T42" si="15">S43+S44+S45</f>
        <v>6</v>
      </c>
      <c r="T42" s="40">
        <f t="shared" si="15"/>
        <v>11</v>
      </c>
    </row>
    <row r="43" spans="2:20" s="39" customFormat="1">
      <c r="B43" s="48" t="s">
        <v>85</v>
      </c>
      <c r="P43" s="39">
        <v>7</v>
      </c>
      <c r="Q43" s="39">
        <v>6</v>
      </c>
      <c r="S43" s="39">
        <v>4</v>
      </c>
      <c r="T43" s="39">
        <v>8</v>
      </c>
    </row>
    <row r="44" spans="2:20" s="39" customFormat="1">
      <c r="B44" s="48" t="s">
        <v>183</v>
      </c>
      <c r="P44" s="39">
        <v>0</v>
      </c>
      <c r="Q44" s="39">
        <v>0</v>
      </c>
      <c r="S44" s="39">
        <v>0</v>
      </c>
      <c r="T44" s="39">
        <v>0</v>
      </c>
    </row>
    <row r="45" spans="2:20" s="39" customFormat="1">
      <c r="B45" s="48" t="s">
        <v>86</v>
      </c>
      <c r="P45" s="39">
        <v>7</v>
      </c>
      <c r="Q45" s="39">
        <v>3</v>
      </c>
      <c r="S45" s="39">
        <v>2</v>
      </c>
      <c r="T45" s="39">
        <v>3</v>
      </c>
    </row>
    <row r="46" spans="2:20" s="39" customFormat="1">
      <c r="B46" s="48"/>
    </row>
    <row r="47" spans="2:20" s="40" customFormat="1">
      <c r="B47" s="49" t="s">
        <v>87</v>
      </c>
      <c r="P47" s="40">
        <f>P48+P49+P50</f>
        <v>20</v>
      </c>
      <c r="Q47" s="40">
        <f>Q48+Q49+Q50</f>
        <v>21</v>
      </c>
      <c r="S47" s="40">
        <f>S48+S49+S50</f>
        <v>20</v>
      </c>
      <c r="T47" s="40">
        <f>T48+T49+T50</f>
        <v>21</v>
      </c>
    </row>
    <row r="48" spans="2:20" s="39" customFormat="1">
      <c r="B48" s="48" t="s">
        <v>88</v>
      </c>
      <c r="P48" s="39">
        <v>12</v>
      </c>
      <c r="Q48" s="39">
        <v>14</v>
      </c>
      <c r="S48" s="39">
        <v>12</v>
      </c>
      <c r="T48" s="39">
        <v>12</v>
      </c>
    </row>
    <row r="49" spans="2:20" s="39" customFormat="1">
      <c r="B49" s="48" t="s">
        <v>89</v>
      </c>
      <c r="P49" s="39">
        <v>8</v>
      </c>
      <c r="Q49" s="39">
        <v>0</v>
      </c>
      <c r="S49" s="39">
        <v>8</v>
      </c>
      <c r="T49" s="39">
        <v>9</v>
      </c>
    </row>
    <row r="50" spans="2:20" s="39" customFormat="1">
      <c r="B50" s="48" t="s">
        <v>184</v>
      </c>
      <c r="P50" s="39">
        <v>0</v>
      </c>
      <c r="Q50" s="39">
        <v>7</v>
      </c>
      <c r="S50" s="39">
        <v>0</v>
      </c>
      <c r="T50" s="39">
        <v>0</v>
      </c>
    </row>
    <row r="52" spans="2:20">
      <c r="B52" s="33" t="s">
        <v>74</v>
      </c>
    </row>
    <row r="53" spans="2:20" s="2" customFormat="1">
      <c r="B53" s="2" t="s">
        <v>6</v>
      </c>
      <c r="P53" s="26"/>
      <c r="R53" s="26"/>
      <c r="S53" s="26">
        <v>1129.8</v>
      </c>
      <c r="T53" s="26">
        <v>1041.3</v>
      </c>
    </row>
    <row r="54" spans="2:20" s="2" customFormat="1">
      <c r="B54" s="2" t="s">
        <v>90</v>
      </c>
      <c r="P54" s="26"/>
      <c r="R54" s="26"/>
      <c r="S54" s="26">
        <v>802.9</v>
      </c>
      <c r="T54" s="26">
        <v>753.8</v>
      </c>
    </row>
    <row r="55" spans="2:20">
      <c r="B55" s="3" t="s">
        <v>91</v>
      </c>
      <c r="P55" s="27"/>
      <c r="R55" s="27"/>
      <c r="S55" s="27">
        <v>197</v>
      </c>
      <c r="T55" s="27">
        <v>240.4</v>
      </c>
    </row>
    <row r="56" spans="2:20">
      <c r="B56" s="3" t="s">
        <v>92</v>
      </c>
      <c r="P56" s="27"/>
      <c r="R56" s="27"/>
      <c r="S56" s="27">
        <v>9.6999999999999993</v>
      </c>
      <c r="T56" s="27">
        <v>2.5</v>
      </c>
    </row>
    <row r="57" spans="2:20">
      <c r="B57" s="3" t="s">
        <v>93</v>
      </c>
      <c r="P57" s="27"/>
      <c r="R57" s="27"/>
      <c r="S57" s="27">
        <v>9.8000000000000007</v>
      </c>
      <c r="T57" s="27">
        <v>5.8</v>
      </c>
    </row>
    <row r="58" spans="2:20">
      <c r="B58" s="3" t="s">
        <v>94</v>
      </c>
      <c r="P58" s="27"/>
      <c r="R58" s="27"/>
      <c r="S58" s="27">
        <v>615.5</v>
      </c>
      <c r="T58" s="27">
        <v>620</v>
      </c>
    </row>
    <row r="59" spans="2:20" s="2" customFormat="1">
      <c r="B59" s="2" t="s">
        <v>95</v>
      </c>
      <c r="P59" s="26"/>
      <c r="Q59" s="26"/>
      <c r="R59" s="26"/>
      <c r="S59" s="26">
        <v>2222.8000000000002</v>
      </c>
      <c r="T59" s="26">
        <v>2392.9</v>
      </c>
    </row>
    <row r="60" spans="2:20">
      <c r="B60" s="3" t="s">
        <v>63</v>
      </c>
      <c r="P60" s="27"/>
      <c r="Q60" s="27"/>
      <c r="R60" s="27"/>
      <c r="S60" s="27">
        <v>105</v>
      </c>
      <c r="T60" s="27">
        <v>101.9</v>
      </c>
    </row>
    <row r="61" spans="2:20">
      <c r="B61" s="3" t="s">
        <v>96</v>
      </c>
      <c r="P61" s="27"/>
      <c r="Q61" s="27"/>
      <c r="R61" s="27"/>
      <c r="S61" s="27">
        <v>217</v>
      </c>
      <c r="T61" s="27">
        <v>209.3</v>
      </c>
    </row>
    <row r="62" spans="2:20">
      <c r="B62" s="3" t="s">
        <v>97</v>
      </c>
      <c r="P62" s="27"/>
      <c r="Q62" s="27"/>
      <c r="R62" s="27"/>
      <c r="S62" s="27">
        <v>227.1</v>
      </c>
      <c r="T62" s="27">
        <v>0</v>
      </c>
    </row>
    <row r="63" spans="2:20">
      <c r="B63" s="3" t="s">
        <v>104</v>
      </c>
      <c r="P63" s="27"/>
      <c r="Q63" s="27"/>
      <c r="R63" s="27"/>
      <c r="S63" s="27">
        <f>SUM(S53:S62)</f>
        <v>5536.6</v>
      </c>
      <c r="T63" s="27">
        <f>SUM(T53:T62)</f>
        <v>5367.9000000000005</v>
      </c>
    </row>
    <row r="64" spans="2:20" s="2" customFormat="1">
      <c r="B64" s="2" t="s">
        <v>90</v>
      </c>
      <c r="P64" s="26"/>
      <c r="Q64" s="26"/>
      <c r="R64" s="26"/>
      <c r="S64" s="26">
        <v>169.9</v>
      </c>
      <c r="T64" s="26">
        <v>169.9</v>
      </c>
    </row>
    <row r="65" spans="2:20" s="2" customFormat="1">
      <c r="B65" s="3" t="s">
        <v>94</v>
      </c>
      <c r="P65" s="26"/>
      <c r="Q65" s="26"/>
      <c r="R65" s="26"/>
      <c r="S65" s="26">
        <v>1.6</v>
      </c>
      <c r="T65" s="26">
        <v>1.5</v>
      </c>
    </row>
    <row r="66" spans="2:20">
      <c r="B66" s="3" t="s">
        <v>92</v>
      </c>
      <c r="P66" s="27"/>
      <c r="Q66" s="27"/>
      <c r="R66" s="27"/>
      <c r="S66" s="27">
        <v>1.6</v>
      </c>
      <c r="T66" s="27">
        <v>3.2</v>
      </c>
    </row>
    <row r="67" spans="2:20">
      <c r="B67" s="3" t="s">
        <v>93</v>
      </c>
      <c r="P67" s="27"/>
      <c r="Q67" s="27"/>
      <c r="R67" s="27"/>
      <c r="S67" s="27">
        <v>23.4</v>
      </c>
      <c r="T67" s="27">
        <v>14.5</v>
      </c>
    </row>
    <row r="68" spans="2:20">
      <c r="B68" s="3" t="s">
        <v>91</v>
      </c>
      <c r="P68" s="27"/>
      <c r="Q68" s="27"/>
      <c r="R68" s="27"/>
      <c r="S68" s="27">
        <v>0</v>
      </c>
      <c r="T68" s="27">
        <v>0.9</v>
      </c>
    </row>
    <row r="69" spans="2:20">
      <c r="B69" s="3" t="s">
        <v>99</v>
      </c>
      <c r="Q69" s="27"/>
      <c r="R69" s="27"/>
      <c r="S69" s="27">
        <v>22.8</v>
      </c>
      <c r="T69" s="27">
        <v>23.3</v>
      </c>
    </row>
    <row r="70" spans="2:20">
      <c r="B70" s="3" t="s">
        <v>96</v>
      </c>
      <c r="P70" s="27"/>
      <c r="Q70" s="27"/>
      <c r="R70" s="27"/>
      <c r="S70" s="27">
        <v>142.9</v>
      </c>
      <c r="T70" s="27">
        <v>165</v>
      </c>
    </row>
    <row r="71" spans="2:20">
      <c r="B71" s="3" t="s">
        <v>100</v>
      </c>
      <c r="P71" s="27"/>
      <c r="Q71" s="27"/>
      <c r="R71" s="27"/>
      <c r="S71" s="27">
        <v>6.9</v>
      </c>
      <c r="T71" s="27">
        <v>9.3000000000000007</v>
      </c>
    </row>
    <row r="72" spans="2:20">
      <c r="B72" s="3" t="s">
        <v>101</v>
      </c>
      <c r="P72" s="27"/>
      <c r="Q72" s="27"/>
      <c r="R72" s="27"/>
      <c r="S72" s="27">
        <v>1679.3</v>
      </c>
      <c r="T72" s="27">
        <v>1652.5</v>
      </c>
    </row>
    <row r="73" spans="2:20">
      <c r="B73" s="3" t="s">
        <v>102</v>
      </c>
      <c r="P73" s="27"/>
      <c r="Q73" s="27"/>
      <c r="R73" s="27"/>
      <c r="S73" s="27">
        <v>2227.5</v>
      </c>
      <c r="T73" s="27">
        <v>2231.3000000000002</v>
      </c>
    </row>
    <row r="74" spans="2:20">
      <c r="B74" s="3" t="s">
        <v>103</v>
      </c>
      <c r="P74" s="27"/>
      <c r="Q74" s="27"/>
      <c r="R74" s="27"/>
      <c r="S74" s="27">
        <v>55.9</v>
      </c>
      <c r="T74" s="27">
        <v>59.5</v>
      </c>
    </row>
    <row r="75" spans="2:20">
      <c r="B75" s="3" t="s">
        <v>98</v>
      </c>
      <c r="P75" s="27"/>
      <c r="Q75" s="27"/>
      <c r="R75" s="27"/>
      <c r="S75" s="27">
        <f>SUM(S64:S74)+S63</f>
        <v>9868.4</v>
      </c>
      <c r="T75" s="27">
        <f>SUM(T64:T74)+T63</f>
        <v>9698.7999999999993</v>
      </c>
    </row>
    <row r="76" spans="2:20">
      <c r="P76" s="27"/>
      <c r="Q76" s="27"/>
      <c r="R76" s="27"/>
      <c r="S76" s="27"/>
      <c r="T76" s="27"/>
    </row>
    <row r="77" spans="2:20">
      <c r="B77" s="3" t="s">
        <v>105</v>
      </c>
      <c r="P77" s="27"/>
      <c r="Q77" s="27"/>
      <c r="R77" s="27"/>
      <c r="S77" s="27">
        <v>562.70000000000005</v>
      </c>
      <c r="T77" s="27">
        <v>727.4</v>
      </c>
    </row>
    <row r="78" spans="2:20">
      <c r="B78" s="3" t="s">
        <v>106</v>
      </c>
      <c r="P78" s="27"/>
      <c r="Q78" s="27"/>
      <c r="R78" s="27"/>
      <c r="S78" s="27">
        <v>14.1</v>
      </c>
      <c r="T78" s="27">
        <v>12.3</v>
      </c>
    </row>
    <row r="79" spans="2:20">
      <c r="B79" s="3" t="s">
        <v>107</v>
      </c>
      <c r="P79" s="27"/>
      <c r="Q79" s="27"/>
      <c r="R79" s="27"/>
      <c r="S79" s="27">
        <v>11</v>
      </c>
      <c r="T79" s="27">
        <v>11.3</v>
      </c>
    </row>
    <row r="80" spans="2:20" s="2" customFormat="1">
      <c r="B80" s="2" t="s">
        <v>116</v>
      </c>
      <c r="P80" s="26"/>
      <c r="Q80" s="26"/>
      <c r="R80" s="26"/>
      <c r="S80" s="26">
        <v>326.8</v>
      </c>
      <c r="T80" s="26">
        <v>70.2</v>
      </c>
    </row>
    <row r="81" spans="2:20">
      <c r="B81" s="3" t="s">
        <v>108</v>
      </c>
      <c r="P81" s="27"/>
      <c r="Q81" s="27"/>
      <c r="R81" s="27"/>
      <c r="S81" s="27">
        <v>263.3</v>
      </c>
      <c r="T81" s="27">
        <v>258.8</v>
      </c>
    </row>
    <row r="82" spans="2:20">
      <c r="B82" s="3" t="s">
        <v>109</v>
      </c>
      <c r="P82" s="27"/>
      <c r="Q82" s="27"/>
      <c r="R82" s="27"/>
      <c r="S82" s="27">
        <v>1301.8</v>
      </c>
      <c r="T82" s="27">
        <v>1317.8</v>
      </c>
    </row>
    <row r="83" spans="2:20" s="2" customFormat="1">
      <c r="B83" s="2" t="s">
        <v>92</v>
      </c>
      <c r="P83" s="26"/>
      <c r="Q83" s="26"/>
      <c r="R83" s="26"/>
      <c r="S83" s="26">
        <v>3.2</v>
      </c>
      <c r="T83" s="26">
        <v>11</v>
      </c>
    </row>
    <row r="84" spans="2:20">
      <c r="B84" s="3" t="s">
        <v>110</v>
      </c>
      <c r="P84" s="27"/>
      <c r="Q84" s="27"/>
      <c r="R84" s="27"/>
      <c r="S84" s="27">
        <v>38</v>
      </c>
      <c r="T84" s="27">
        <v>37.1</v>
      </c>
    </row>
    <row r="85" spans="2:20">
      <c r="B85" s="3" t="s">
        <v>111</v>
      </c>
      <c r="P85" s="27"/>
      <c r="Q85" s="27"/>
      <c r="R85" s="27"/>
      <c r="S85" s="27">
        <v>71.400000000000006</v>
      </c>
      <c r="T85" s="27">
        <v>79.8</v>
      </c>
    </row>
    <row r="86" spans="2:20">
      <c r="B86" s="3" t="s">
        <v>112</v>
      </c>
      <c r="P86" s="27"/>
      <c r="Q86" s="27"/>
      <c r="R86" s="27"/>
      <c r="S86" s="27">
        <v>2.8</v>
      </c>
      <c r="T86" s="27">
        <v>2.6</v>
      </c>
    </row>
    <row r="87" spans="2:20">
      <c r="B87" s="3" t="s">
        <v>113</v>
      </c>
      <c r="P87" s="27"/>
      <c r="Q87" s="27"/>
      <c r="R87" s="27"/>
      <c r="S87" s="27">
        <v>113.8</v>
      </c>
      <c r="T87" s="27">
        <v>111.8</v>
      </c>
    </row>
    <row r="88" spans="2:20">
      <c r="B88" s="3" t="s">
        <v>114</v>
      </c>
      <c r="P88" s="27"/>
      <c r="Q88" s="27"/>
      <c r="R88" s="27"/>
      <c r="S88" s="3">
        <v>47.4</v>
      </c>
      <c r="T88" s="27">
        <v>0</v>
      </c>
    </row>
    <row r="89" spans="2:20">
      <c r="B89" s="3" t="s">
        <v>115</v>
      </c>
      <c r="P89" s="27">
        <f>SUM(P77:P88)</f>
        <v>0</v>
      </c>
      <c r="Q89" s="27"/>
      <c r="R89" s="27"/>
      <c r="S89" s="27">
        <f>SUM(S77:S88)</f>
        <v>2756.3</v>
      </c>
      <c r="T89" s="27">
        <f>SUM(T77:T88)</f>
        <v>2640.1000000000004</v>
      </c>
    </row>
    <row r="90" spans="2:20">
      <c r="B90" s="3" t="s">
        <v>107</v>
      </c>
      <c r="P90" s="27"/>
      <c r="Q90" s="27"/>
      <c r="R90" s="27"/>
      <c r="S90" s="27">
        <v>49</v>
      </c>
      <c r="T90" s="27">
        <v>52.6</v>
      </c>
    </row>
    <row r="91" spans="2:20" s="2" customFormat="1">
      <c r="B91" s="2" t="s">
        <v>116</v>
      </c>
      <c r="P91" s="26"/>
      <c r="Q91" s="26"/>
      <c r="R91" s="26"/>
      <c r="S91" s="26">
        <v>3229</v>
      </c>
      <c r="T91" s="26">
        <v>3092.7</v>
      </c>
    </row>
    <row r="92" spans="2:20">
      <c r="B92" s="3" t="s">
        <v>108</v>
      </c>
      <c r="P92" s="27"/>
      <c r="Q92" s="27"/>
      <c r="R92" s="27"/>
      <c r="S92" s="27">
        <v>53.8</v>
      </c>
      <c r="T92" s="27">
        <v>55.1</v>
      </c>
    </row>
    <row r="93" spans="2:20">
      <c r="B93" s="3" t="s">
        <v>109</v>
      </c>
      <c r="P93" s="27"/>
      <c r="Q93" s="27"/>
      <c r="R93" s="27"/>
      <c r="S93" s="27">
        <v>454.8</v>
      </c>
      <c r="T93" s="27">
        <v>478.5</v>
      </c>
    </row>
    <row r="94" spans="2:20">
      <c r="B94" s="3" t="s">
        <v>110</v>
      </c>
      <c r="P94" s="27"/>
      <c r="Q94" s="27"/>
      <c r="R94" s="27"/>
      <c r="S94" s="27">
        <v>13</v>
      </c>
      <c r="T94" s="27">
        <v>12.1</v>
      </c>
    </row>
    <row r="95" spans="2:20">
      <c r="B95" s="3" t="s">
        <v>117</v>
      </c>
      <c r="P95" s="27"/>
      <c r="Q95" s="27"/>
      <c r="R95" s="27"/>
      <c r="S95" s="27">
        <v>376.1</v>
      </c>
      <c r="T95" s="27">
        <v>334.4</v>
      </c>
    </row>
    <row r="96" spans="2:20">
      <c r="B96" s="3" t="s">
        <v>112</v>
      </c>
      <c r="P96" s="27"/>
      <c r="Q96" s="27"/>
      <c r="R96" s="27"/>
      <c r="S96" s="27">
        <v>37.6</v>
      </c>
      <c r="T96" s="27">
        <v>27.2</v>
      </c>
    </row>
    <row r="97" spans="2:20">
      <c r="B97" s="3" t="s">
        <v>113</v>
      </c>
      <c r="P97" s="27"/>
      <c r="Q97" s="27"/>
      <c r="R97" s="27"/>
      <c r="S97" s="27">
        <v>141.9</v>
      </c>
      <c r="T97" s="27">
        <v>133.4</v>
      </c>
    </row>
    <row r="98" spans="2:20">
      <c r="B98" s="3" t="s">
        <v>118</v>
      </c>
      <c r="P98" s="27">
        <f>SUM(P90:P97)+P89</f>
        <v>0</v>
      </c>
      <c r="Q98" s="27"/>
      <c r="R98" s="27"/>
      <c r="S98" s="27">
        <f>SUM(S90:S97)+S89</f>
        <v>7111.5000000000009</v>
      </c>
      <c r="T98" s="27">
        <f>SUM(T90:T97)+T89</f>
        <v>6826.0999999999995</v>
      </c>
    </row>
    <row r="99" spans="2:20">
      <c r="P99" s="27"/>
      <c r="Q99" s="27"/>
      <c r="R99" s="27"/>
      <c r="S99" s="27"/>
      <c r="T99" s="27"/>
    </row>
    <row r="100" spans="2:20">
      <c r="B100" s="3" t="s">
        <v>119</v>
      </c>
      <c r="P100" s="27"/>
      <c r="Q100" s="27"/>
      <c r="R100" s="27"/>
      <c r="S100" s="27">
        <v>2756.9</v>
      </c>
      <c r="T100" s="27">
        <v>2872.7</v>
      </c>
    </row>
    <row r="101" spans="2:20">
      <c r="B101" s="3" t="s">
        <v>120</v>
      </c>
      <c r="P101" s="27">
        <f>P100+P98</f>
        <v>0</v>
      </c>
      <c r="Q101" s="27"/>
      <c r="R101" s="27"/>
      <c r="S101" s="27">
        <f>S100+S98</f>
        <v>9868.4000000000015</v>
      </c>
      <c r="T101" s="27">
        <f>T100+T98</f>
        <v>9698.7999999999993</v>
      </c>
    </row>
    <row r="103" spans="2:20">
      <c r="B103" s="3" t="s">
        <v>121</v>
      </c>
      <c r="P103" s="27">
        <f>P75-P98</f>
        <v>0</v>
      </c>
      <c r="Q103" s="27"/>
      <c r="R103" s="27"/>
      <c r="S103" s="27">
        <f>S75-S98</f>
        <v>2756.8999999999987</v>
      </c>
      <c r="T103" s="27">
        <f>T75-T98</f>
        <v>2872.7</v>
      </c>
    </row>
    <row r="104" spans="2:20">
      <c r="B104" s="3" t="s">
        <v>122</v>
      </c>
      <c r="S104" s="3">
        <f>S103/S27</f>
        <v>3.7529267628641421</v>
      </c>
      <c r="T104" s="3">
        <f>T103/T27</f>
        <v>3.9105635720119789</v>
      </c>
    </row>
    <row r="106" spans="2:20" s="39" customFormat="1">
      <c r="B106" s="39" t="s">
        <v>6</v>
      </c>
      <c r="S106" s="52">
        <f>S53+S54+S64</f>
        <v>2102.6</v>
      </c>
      <c r="T106" s="52">
        <f>T53+T54+T64</f>
        <v>1965</v>
      </c>
    </row>
    <row r="107" spans="2:20" s="39" customFormat="1">
      <c r="B107" s="39" t="s">
        <v>7</v>
      </c>
      <c r="S107" s="52">
        <f>S80+S83+S91</f>
        <v>3559</v>
      </c>
      <c r="T107" s="52">
        <f>T80+T83+T91</f>
        <v>3173.8999999999996</v>
      </c>
    </row>
    <row r="108" spans="2:20">
      <c r="B108" s="3" t="s">
        <v>8</v>
      </c>
      <c r="S108" s="27">
        <f>S106-S107</f>
        <v>-1456.4</v>
      </c>
      <c r="T108" s="27">
        <f>T106-T107</f>
        <v>-1208.8999999999996</v>
      </c>
    </row>
    <row r="110" spans="2:20" s="2" customFormat="1">
      <c r="B110" s="2" t="s">
        <v>134</v>
      </c>
    </row>
    <row r="111" spans="2:20">
      <c r="B111" s="3" t="s">
        <v>135</v>
      </c>
      <c r="T111" s="25">
        <f>T59/S59-1</f>
        <v>7.6525103473096934E-2</v>
      </c>
    </row>
    <row r="113" spans="2:20">
      <c r="B113" s="3" t="s">
        <v>136</v>
      </c>
    </row>
    <row r="115" spans="2:20">
      <c r="B115" s="3" t="s">
        <v>178</v>
      </c>
      <c r="M115" s="3">
        <v>4.41</v>
      </c>
      <c r="N115" s="3">
        <v>6.81</v>
      </c>
      <c r="O115" s="3">
        <v>9.9600000000000009</v>
      </c>
      <c r="P115" s="3">
        <v>15.14</v>
      </c>
      <c r="Q115" s="27">
        <v>17</v>
      </c>
      <c r="R115" s="3">
        <v>13.9</v>
      </c>
      <c r="S115" s="3">
        <v>12.61</v>
      </c>
      <c r="T115" s="3">
        <v>8.7799999999999994</v>
      </c>
    </row>
    <row r="116" spans="2:20" s="27" customFormat="1">
      <c r="B116" s="27" t="s">
        <v>179</v>
      </c>
      <c r="M116" s="27">
        <f t="shared" ref="M116:R116" si="16">M115*M27</f>
        <v>3246.6420000000003</v>
      </c>
      <c r="N116" s="27">
        <f t="shared" si="16"/>
        <v>0</v>
      </c>
      <c r="O116" s="27">
        <f t="shared" si="16"/>
        <v>7320.6</v>
      </c>
      <c r="P116" s="27">
        <f t="shared" si="16"/>
        <v>11124.871999999999</v>
      </c>
      <c r="Q116" s="27">
        <f t="shared" si="16"/>
        <v>12491.599999999999</v>
      </c>
      <c r="R116" s="27">
        <f t="shared" si="16"/>
        <v>10212.330000000002</v>
      </c>
      <c r="S116" s="27">
        <f>S115*S27</f>
        <v>9263.3060000000005</v>
      </c>
      <c r="T116" s="27">
        <f>T115*T27</f>
        <v>6449.7879999999996</v>
      </c>
    </row>
    <row r="117" spans="2:20" s="27" customFormat="1">
      <c r="B117" s="27" t="s">
        <v>9</v>
      </c>
      <c r="M117" s="27">
        <f t="shared" ref="M117:R117" si="17">M116-M108</f>
        <v>3246.6420000000003</v>
      </c>
      <c r="N117" s="27">
        <f t="shared" si="17"/>
        <v>0</v>
      </c>
      <c r="O117" s="27">
        <f t="shared" si="17"/>
        <v>7320.6</v>
      </c>
      <c r="P117" s="27">
        <f t="shared" si="17"/>
        <v>11124.871999999999</v>
      </c>
      <c r="Q117" s="27">
        <f t="shared" si="17"/>
        <v>12491.599999999999</v>
      </c>
      <c r="R117" s="27">
        <f t="shared" si="17"/>
        <v>10212.330000000002</v>
      </c>
      <c r="S117" s="27">
        <f>S116-S108</f>
        <v>10719.706</v>
      </c>
      <c r="T117" s="27">
        <f>T116-T108</f>
        <v>7658.6879999999992</v>
      </c>
    </row>
    <row r="119" spans="2:20">
      <c r="B119" s="3" t="s">
        <v>26</v>
      </c>
      <c r="S119" s="57">
        <f>-S115/S104</f>
        <v>-3.3600442526025622</v>
      </c>
      <c r="T119" s="57">
        <f>-T115/T104</f>
        <v>-2.2452006822849584</v>
      </c>
    </row>
    <row r="120" spans="2:20">
      <c r="B120" s="3" t="s">
        <v>27</v>
      </c>
    </row>
    <row r="121" spans="2:20">
      <c r="B121" s="3" t="s">
        <v>28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C4:D7"/>
  <sheetViews>
    <sheetView workbookViewId="0">
      <selection activeCell="D8" sqref="D8"/>
    </sheetView>
  </sheetViews>
  <sheetFormatPr defaultRowHeight="12.75"/>
  <cols>
    <col min="1" max="16384" width="9.140625" style="3"/>
  </cols>
  <sheetData>
    <row r="4" spans="3:4">
      <c r="D4" s="3" t="s">
        <v>177</v>
      </c>
    </row>
    <row r="7" spans="3:4">
      <c r="C7" s="3" t="s">
        <v>181</v>
      </c>
      <c r="D7" s="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2022-10-09T17:42:46Z</dcterms:modified>
</cp:coreProperties>
</file>