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57F149AB-BDA9-450C-911B-84BD9A776A2E}" xr6:coauthVersionLast="36" xr6:coauthVersionMax="36" xr10:uidLastSave="{00000000-0000-0000-0000-000000000000}"/>
  <bookViews>
    <workbookView xWindow="0" yWindow="0" windowWidth="21570" windowHeight="10500" xr2:uid="{BFBD9EDE-FC47-49BF-96FE-182E73BB21C3}"/>
  </bookViews>
  <sheets>
    <sheet name="Main" sheetId="1" r:id="rId1"/>
    <sheet name="Financial Model" sheetId="2" r:id="rId2"/>
    <sheet name="Order &amp; Backlog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1" l="1"/>
  <c r="C34" i="1"/>
  <c r="S128" i="2"/>
  <c r="R128" i="2"/>
  <c r="Q128" i="2"/>
  <c r="P128" i="2"/>
  <c r="T128" i="2"/>
  <c r="P127" i="2"/>
  <c r="S127" i="2"/>
  <c r="R127" i="2"/>
  <c r="Q127" i="2"/>
  <c r="T127" i="2"/>
  <c r="AA128" i="2"/>
  <c r="AB128" i="2"/>
  <c r="AA127" i="2"/>
  <c r="AB127" i="2"/>
  <c r="AB126" i="2"/>
  <c r="AA126" i="2"/>
  <c r="AA123" i="2"/>
  <c r="AA124" i="2" s="1"/>
  <c r="AA122" i="2"/>
  <c r="AB117" i="2"/>
  <c r="AA115" i="2"/>
  <c r="AA114" i="2"/>
  <c r="AA113" i="2"/>
  <c r="AA110" i="2"/>
  <c r="AA111" i="2" s="1"/>
  <c r="AA108" i="2"/>
  <c r="AA107" i="2"/>
  <c r="AA96" i="2"/>
  <c r="AA105" i="2"/>
  <c r="AA104" i="2"/>
  <c r="AA103" i="2"/>
  <c r="AA102" i="2"/>
  <c r="AA101" i="2"/>
  <c r="AA100" i="2"/>
  <c r="AA99" i="2"/>
  <c r="AA98" i="2"/>
  <c r="AA97" i="2"/>
  <c r="AA95" i="2"/>
  <c r="AA86" i="2"/>
  <c r="AA83" i="2"/>
  <c r="AA94" i="2"/>
  <c r="AA93" i="2"/>
  <c r="AA92" i="2"/>
  <c r="AA91" i="2"/>
  <c r="AA90" i="2"/>
  <c r="AA89" i="2"/>
  <c r="AA88" i="2"/>
  <c r="AA87" i="2"/>
  <c r="AA85" i="2"/>
  <c r="AA84" i="2"/>
  <c r="AA82" i="2"/>
  <c r="AA81" i="2"/>
  <c r="AA80" i="2"/>
  <c r="AB123" i="2"/>
  <c r="AB122" i="2"/>
  <c r="AB114" i="2"/>
  <c r="AB113" i="2"/>
  <c r="AB115" i="2" s="1"/>
  <c r="AB124" i="2" s="1"/>
  <c r="AB110" i="2"/>
  <c r="AB111" i="2" s="1"/>
  <c r="AB108" i="2"/>
  <c r="AB107" i="2"/>
  <c r="AB105" i="2"/>
  <c r="AB104" i="2"/>
  <c r="AB103" i="2"/>
  <c r="AB102" i="2"/>
  <c r="AB101" i="2"/>
  <c r="AB100" i="2"/>
  <c r="AB99" i="2"/>
  <c r="AB98" i="2"/>
  <c r="AB97" i="2"/>
  <c r="AB95" i="2"/>
  <c r="AB96" i="2"/>
  <c r="AB83" i="2"/>
  <c r="AB86" i="2"/>
  <c r="AB94" i="2" s="1"/>
  <c r="AB93" i="2"/>
  <c r="AB92" i="2"/>
  <c r="AB91" i="2"/>
  <c r="AB90" i="2"/>
  <c r="AB89" i="2"/>
  <c r="AB88" i="2"/>
  <c r="AB87" i="2"/>
  <c r="AB85" i="2"/>
  <c r="AB84" i="2"/>
  <c r="AB82" i="2"/>
  <c r="AB81" i="2"/>
  <c r="AB80" i="2"/>
  <c r="AA59" i="2"/>
  <c r="AA58" i="2"/>
  <c r="AA57" i="2"/>
  <c r="AA56" i="2"/>
  <c r="AA64" i="2"/>
  <c r="AA63" i="2"/>
  <c r="AA62" i="2"/>
  <c r="AA61" i="2"/>
  <c r="AA67" i="2"/>
  <c r="AA76" i="2"/>
  <c r="AA75" i="2"/>
  <c r="AA74" i="2"/>
  <c r="AA73" i="2"/>
  <c r="AA72" i="2"/>
  <c r="AA71" i="2"/>
  <c r="AA70" i="2"/>
  <c r="AA69" i="2"/>
  <c r="AA77" i="2"/>
  <c r="AA65" i="2"/>
  <c r="AA78" i="2" s="1"/>
  <c r="AA68" i="2"/>
  <c r="AA66" i="2"/>
  <c r="AA60" i="2"/>
  <c r="AA55" i="2"/>
  <c r="AA54" i="2"/>
  <c r="AB65" i="2"/>
  <c r="AB78" i="2" s="1"/>
  <c r="AB77" i="2"/>
  <c r="AB76" i="2"/>
  <c r="AB75" i="2"/>
  <c r="AB74" i="2"/>
  <c r="AB73" i="2"/>
  <c r="AB72" i="2"/>
  <c r="AB71" i="2"/>
  <c r="AB70" i="2"/>
  <c r="AB69" i="2"/>
  <c r="AB67" i="2"/>
  <c r="AB64" i="2"/>
  <c r="AB63" i="2"/>
  <c r="AB62" i="2"/>
  <c r="AB61" i="2"/>
  <c r="AB68" i="2"/>
  <c r="AB66" i="2"/>
  <c r="AB60" i="2"/>
  <c r="AB59" i="2"/>
  <c r="AB58" i="2"/>
  <c r="AB57" i="2"/>
  <c r="AB56" i="2"/>
  <c r="AB55" i="2"/>
  <c r="AB54" i="2"/>
  <c r="N126" i="2"/>
  <c r="R126" i="2"/>
  <c r="R117" i="2"/>
  <c r="S118" i="2"/>
  <c r="R118" i="2"/>
  <c r="R114" i="2"/>
  <c r="R113" i="2"/>
  <c r="R115" i="2" s="1"/>
  <c r="N114" i="2"/>
  <c r="N113" i="2"/>
  <c r="N115" i="2" s="1"/>
  <c r="N110" i="2"/>
  <c r="N111" i="2" s="1"/>
  <c r="R110" i="2"/>
  <c r="R111" i="2" s="1"/>
  <c r="R108" i="2"/>
  <c r="N108" i="2"/>
  <c r="R105" i="2"/>
  <c r="N105" i="2"/>
  <c r="R94" i="2"/>
  <c r="N94" i="2"/>
  <c r="R78" i="2"/>
  <c r="Q113" i="2"/>
  <c r="P113" i="2"/>
  <c r="S113" i="2"/>
  <c r="T113" i="2"/>
  <c r="N78" i="2"/>
  <c r="R65" i="2"/>
  <c r="N65" i="2"/>
  <c r="AB48" i="2"/>
  <c r="AA48" i="2"/>
  <c r="AB42" i="2"/>
  <c r="AA42" i="2"/>
  <c r="AA41" i="2" s="1"/>
  <c r="AA37" i="2"/>
  <c r="AA36" i="2"/>
  <c r="AA35" i="2"/>
  <c r="AA34" i="2"/>
  <c r="AB37" i="2"/>
  <c r="AB36" i="2"/>
  <c r="AB35" i="2"/>
  <c r="AB34" i="2"/>
  <c r="AB26" i="2"/>
  <c r="AA26" i="2"/>
  <c r="AB23" i="2"/>
  <c r="AA23" i="2"/>
  <c r="AB21" i="2"/>
  <c r="AA21" i="2"/>
  <c r="AA18" i="2"/>
  <c r="AB18" i="2"/>
  <c r="AB30" i="2"/>
  <c r="AA11" i="2"/>
  <c r="AB11" i="2"/>
  <c r="O31" i="2"/>
  <c r="N31" i="2"/>
  <c r="R30" i="2"/>
  <c r="N37" i="2"/>
  <c r="N36" i="2"/>
  <c r="N35" i="2"/>
  <c r="N34" i="2"/>
  <c r="N26" i="2"/>
  <c r="N23" i="2"/>
  <c r="N21" i="2"/>
  <c r="N18" i="2"/>
  <c r="N11" i="2"/>
  <c r="N48" i="2"/>
  <c r="N42" i="2"/>
  <c r="N41" i="2"/>
  <c r="R48" i="2"/>
  <c r="R42" i="2"/>
  <c r="P126" i="2"/>
  <c r="T117" i="2"/>
  <c r="Q118" i="2"/>
  <c r="Q114" i="2"/>
  <c r="P114" i="2"/>
  <c r="Q115" i="2"/>
  <c r="P115" i="2"/>
  <c r="Q94" i="2"/>
  <c r="Q105" i="2" s="1"/>
  <c r="Q108" i="2" s="1"/>
  <c r="Q78" i="2"/>
  <c r="Q65" i="2"/>
  <c r="P65" i="2"/>
  <c r="P78" i="2" s="1"/>
  <c r="AB41" i="2" l="1"/>
  <c r="R41" i="2"/>
  <c r="Q110" i="2"/>
  <c r="Q111" i="2" s="1"/>
  <c r="Q126" i="2" s="1"/>
  <c r="R123" i="2"/>
  <c r="R124" i="2" s="1"/>
  <c r="Q123" i="2"/>
  <c r="Q124" i="2" s="1"/>
  <c r="P123" i="2"/>
  <c r="P124" i="2" s="1"/>
  <c r="O123" i="2"/>
  <c r="O124" i="2" s="1"/>
  <c r="N123" i="2"/>
  <c r="N124" i="2" s="1"/>
  <c r="M123" i="2"/>
  <c r="M124" i="2" s="1"/>
  <c r="Q30" i="2" l="1"/>
  <c r="M26" i="2"/>
  <c r="M11" i="2"/>
  <c r="M34" i="2" s="1"/>
  <c r="R31" i="2"/>
  <c r="Q31" i="2"/>
  <c r="Q26" i="2"/>
  <c r="P26" i="2"/>
  <c r="Q11" i="2"/>
  <c r="Q34" i="2" s="1"/>
  <c r="S48" i="2"/>
  <c r="T48" i="2"/>
  <c r="Q48" i="2"/>
  <c r="P48" i="2"/>
  <c r="Q42" i="2"/>
  <c r="T42" i="2"/>
  <c r="S42" i="2"/>
  <c r="P42" i="2"/>
  <c r="Q41" i="2" l="1"/>
  <c r="Q18" i="2"/>
  <c r="M18" i="2"/>
  <c r="S123" i="2"/>
  <c r="T123" i="2"/>
  <c r="M35" i="2" l="1"/>
  <c r="M21" i="2"/>
  <c r="Q35" i="2"/>
  <c r="Q21" i="2"/>
  <c r="R26" i="2"/>
  <c r="R11" i="2"/>
  <c r="R18" i="2" s="1"/>
  <c r="S26" i="2"/>
  <c r="S11" i="2"/>
  <c r="S18" i="2" s="1"/>
  <c r="S30" i="2"/>
  <c r="S31" i="2"/>
  <c r="T31" i="2"/>
  <c r="P31" i="2"/>
  <c r="O26" i="2"/>
  <c r="O11" i="2"/>
  <c r="O18" i="2" s="1"/>
  <c r="R34" i="2" l="1"/>
  <c r="O34" i="2"/>
  <c r="S35" i="2"/>
  <c r="S21" i="2"/>
  <c r="R21" i="2"/>
  <c r="R35" i="2"/>
  <c r="O35" i="2"/>
  <c r="O21" i="2"/>
  <c r="M37" i="2"/>
  <c r="M23" i="2"/>
  <c r="M36" i="2" s="1"/>
  <c r="S34" i="2"/>
  <c r="Q37" i="2"/>
  <c r="Q23" i="2"/>
  <c r="Q36" i="2" s="1"/>
  <c r="T114" i="2"/>
  <c r="C10" i="1" s="1"/>
  <c r="C26" i="1"/>
  <c r="T118" i="2"/>
  <c r="S114" i="2"/>
  <c r="S115" i="2" s="1"/>
  <c r="S124" i="2" s="1"/>
  <c r="T94" i="2"/>
  <c r="T105" i="2" s="1"/>
  <c r="T65" i="2"/>
  <c r="T78" i="2" s="1"/>
  <c r="S94" i="2"/>
  <c r="S105" i="2" s="1"/>
  <c r="S108" i="2" s="1"/>
  <c r="D10" i="1"/>
  <c r="D11" i="1"/>
  <c r="D9" i="1"/>
  <c r="C9" i="1"/>
  <c r="P94" i="2"/>
  <c r="D7" i="1"/>
  <c r="S41" i="2"/>
  <c r="P41" i="2"/>
  <c r="T41" i="2"/>
  <c r="T110" i="2" l="1"/>
  <c r="T111" i="2" s="1"/>
  <c r="T126" i="2" s="1"/>
  <c r="C33" i="1"/>
  <c r="R23" i="2"/>
  <c r="R36" i="2" s="1"/>
  <c r="R37" i="2"/>
  <c r="O37" i="2"/>
  <c r="O23" i="2"/>
  <c r="O36" i="2" s="1"/>
  <c r="S37" i="2"/>
  <c r="S23" i="2"/>
  <c r="S36" i="2" s="1"/>
  <c r="T115" i="2"/>
  <c r="T124" i="2" s="1"/>
  <c r="T108" i="2"/>
  <c r="S110" i="2"/>
  <c r="S111" i="2" s="1"/>
  <c r="S126" i="2" s="1"/>
  <c r="P105" i="2"/>
  <c r="S65" i="2"/>
  <c r="S78" i="2" s="1"/>
  <c r="P108" i="2" l="1"/>
  <c r="P110" i="2"/>
  <c r="P111" i="2" s="1"/>
  <c r="T30" i="2"/>
  <c r="T26" i="2"/>
  <c r="T11" i="2"/>
  <c r="T18" i="2" s="1"/>
  <c r="P11" i="2"/>
  <c r="P18" i="2" s="1"/>
  <c r="P21" i="2" s="1"/>
  <c r="P23" i="2" s="1"/>
  <c r="P36" i="2" s="1"/>
  <c r="C8" i="1"/>
  <c r="C11" i="1"/>
  <c r="T34" i="2" l="1"/>
  <c r="T21" i="2"/>
  <c r="T35" i="2"/>
  <c r="P37" i="2"/>
  <c r="P35" i="2"/>
  <c r="P34" i="2"/>
  <c r="C12" i="1"/>
  <c r="T37" i="2" l="1"/>
  <c r="T23" i="2"/>
  <c r="T36" i="2" s="1"/>
</calcChain>
</file>

<file path=xl/sharedStrings.xml><?xml version="1.0" encoding="utf-8"?>
<sst xmlns="http://schemas.openxmlformats.org/spreadsheetml/2006/main" count="223" uniqueCount="192">
  <si>
    <t>$ERJ</t>
  </si>
  <si>
    <t>Embraer S.A.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</si>
  <si>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</si>
  <si>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</si>
  <si>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</si>
  <si>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</si>
  <si>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</si>
  <si>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</si>
  <si>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</si>
  <si>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</si>
  <si>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Key Events</t>
  </si>
  <si>
    <t>Fresh E195-E2 orders from Oman's Salam Air</t>
  </si>
  <si>
    <t>Omain's low cost carrier SalamAir has signed a firm order for six E195-E2 jets with options for a further six units</t>
  </si>
  <si>
    <t>The deal is valued at $934.6 with all options exercised &amp; will be added to Q3 backlog. Deliveries expected 2023</t>
  </si>
  <si>
    <t>Management</t>
  </si>
  <si>
    <t>CEO</t>
  </si>
  <si>
    <t>Pres</t>
  </si>
  <si>
    <t>CFO</t>
  </si>
  <si>
    <t>Francisco Neto</t>
  </si>
  <si>
    <t>Antonio Garcia</t>
  </si>
  <si>
    <t>Profile</t>
  </si>
  <si>
    <t>HQ</t>
  </si>
  <si>
    <t>Founded</t>
  </si>
  <si>
    <t>Update</t>
  </si>
  <si>
    <t>IR</t>
  </si>
  <si>
    <t>Metrics</t>
  </si>
  <si>
    <t>P/B</t>
  </si>
  <si>
    <t>P/S</t>
  </si>
  <si>
    <t>P/E</t>
  </si>
  <si>
    <t>Royal Jordanian signs MoU for a mix of E190-E2 &amp; E195-E2 aircraft</t>
  </si>
  <si>
    <t>Deal was brokered at the Istanbul Air Show as with Oman's SalamAir deal who had previously been Airbus-exclusive</t>
  </si>
  <si>
    <t>Link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</si>
  <si>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</si>
  <si>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</si>
  <si>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</si>
  <si>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</si>
  <si>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</si>
  <si>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</si>
  <si>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</si>
  <si>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</si>
  <si>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</si>
  <si>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</si>
  <si>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</si>
  <si>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</si>
  <si>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</si>
  <si>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</si>
  <si>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</si>
  <si>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</si>
  <si>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</si>
  <si>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</si>
  <si>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Revenue</t>
  </si>
  <si>
    <t>COGS</t>
  </si>
  <si>
    <t>Gross Profit</t>
  </si>
  <si>
    <t>Operating Income</t>
  </si>
  <si>
    <t>Administrative</t>
  </si>
  <si>
    <t>Selling</t>
  </si>
  <si>
    <t>Financial Losses</t>
  </si>
  <si>
    <t>Research</t>
  </si>
  <si>
    <t>Other Operating Income</t>
  </si>
  <si>
    <t>Equity in Income of JV</t>
  </si>
  <si>
    <t>Finance Income</t>
  </si>
  <si>
    <t>FOREX Gain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</si>
  <si>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</si>
  <si>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</si>
  <si>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</si>
  <si>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</si>
  <si>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</si>
  <si>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</si>
  <si>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</si>
  <si>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</si>
  <si>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</si>
  <si>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 Rate</t>
  </si>
  <si>
    <t>Owners of Embrarer</t>
  </si>
  <si>
    <t>Non Controlling</t>
  </si>
  <si>
    <t>Balance Sheet</t>
  </si>
  <si>
    <t>Q322</t>
  </si>
  <si>
    <t>Q422</t>
  </si>
  <si>
    <t>FY18</t>
  </si>
  <si>
    <t>FY19</t>
  </si>
  <si>
    <t>FY20</t>
  </si>
  <si>
    <t>FY21</t>
  </si>
  <si>
    <t>FY22</t>
  </si>
  <si>
    <t>Non-Finance Metrics</t>
  </si>
  <si>
    <t>Deliveries</t>
  </si>
  <si>
    <t>Commercial</t>
  </si>
  <si>
    <t>Embraer 175</t>
  </si>
  <si>
    <t>Embraer 195-E2</t>
  </si>
  <si>
    <t>Executive</t>
  </si>
  <si>
    <t>Light Jets</t>
  </si>
  <si>
    <t>Medium Jets</t>
  </si>
  <si>
    <t>Financial Investments</t>
  </si>
  <si>
    <t>Trade &amp; A/R</t>
  </si>
  <si>
    <t>Derivative Financial Instruments</t>
  </si>
  <si>
    <t>Customer/Commercial Financing</t>
  </si>
  <si>
    <t>Contract Assets</t>
  </si>
  <si>
    <t>Inventories</t>
  </si>
  <si>
    <t>Other Assets</t>
  </si>
  <si>
    <t>Held-For-Sale</t>
  </si>
  <si>
    <t>Assets</t>
  </si>
  <si>
    <t>Deferred Taxes</t>
  </si>
  <si>
    <t>Investments</t>
  </si>
  <si>
    <t>PP&amp;E</t>
  </si>
  <si>
    <t>Intangibles</t>
  </si>
  <si>
    <t>ROU</t>
  </si>
  <si>
    <t>TCA</t>
  </si>
  <si>
    <t>Trade &amp; A/P</t>
  </si>
  <si>
    <t>Supplier Finance</t>
  </si>
  <si>
    <t>Lease Liabiltiies</t>
  </si>
  <si>
    <t>Other Payables</t>
  </si>
  <si>
    <t>Contract Liabilities</t>
  </si>
  <si>
    <t>Taxes &amp; Payroll</t>
  </si>
  <si>
    <t>Income Tax</t>
  </si>
  <si>
    <t>Unearned Income</t>
  </si>
  <si>
    <t>Provisions</t>
  </si>
  <si>
    <t>Liabilities Held For Sale</t>
  </si>
  <si>
    <t>TCL</t>
  </si>
  <si>
    <t>Loans &amp; Financing</t>
  </si>
  <si>
    <t>Deferred Income Tax</t>
  </si>
  <si>
    <t>Liabilities</t>
  </si>
  <si>
    <t>S/E</t>
  </si>
  <si>
    <t>S/E+L</t>
  </si>
  <si>
    <t>Book Value</t>
  </si>
  <si>
    <t>Book Value per Share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</si>
  <si>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</si>
  <si>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</si>
  <si>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</si>
  <si>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</si>
  <si>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</si>
  <si>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</si>
  <si>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</si>
  <si>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</si>
  <si>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</si>
  <si>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Sao Paulo, Brazil</t>
  </si>
  <si>
    <t>Products</t>
  </si>
  <si>
    <t>Inventory Y/Y</t>
  </si>
  <si>
    <t>Inventory Q/Q</t>
  </si>
  <si>
    <t>Inventory/Revenue TTM</t>
  </si>
  <si>
    <t>Embraer E-Jet</t>
  </si>
  <si>
    <t>Embraer E-Jet E2 family</t>
  </si>
  <si>
    <t>Military</t>
  </si>
  <si>
    <t>Embraer R-99 (AWACS)</t>
  </si>
  <si>
    <t>Embraer C-390 Millenium (Transport)</t>
  </si>
  <si>
    <t>Embraer EMB 314 Super Tucano (Attack)</t>
  </si>
  <si>
    <t>Business Jets</t>
  </si>
  <si>
    <t>Embraer Phenom 100 (Very Light Jet)</t>
  </si>
  <si>
    <t>Embraer Phenom 300 (Light Jet)</t>
  </si>
  <si>
    <t>Embraer Phenom 500 (Mid-Size Jet)</t>
  </si>
  <si>
    <t>Embraer Phenom 600 (Super Mid-Size)</t>
  </si>
  <si>
    <t>Aircraft (Current)</t>
  </si>
  <si>
    <t>Utility</t>
  </si>
  <si>
    <t>Embraer EMB 202 Ipanema (Cropduster)</t>
  </si>
  <si>
    <t>Embraer 170 (66-78 passengers)</t>
  </si>
  <si>
    <t>Embraer 175 (76-88 passengers)</t>
  </si>
  <si>
    <t>Embraer 190 (96-114 passengers)</t>
  </si>
  <si>
    <t>Embraer 175-E2 (80-90 passengers)</t>
  </si>
  <si>
    <t>Embraer 190-E2 (97-114 passengers)</t>
  </si>
  <si>
    <t>Embraer 195-E2 (120-146 passengers)</t>
  </si>
  <si>
    <t>JAS 39 Gripen E/F (Multirole Fighter)</t>
  </si>
  <si>
    <t>Pipeline</t>
  </si>
  <si>
    <t>New family of turboprop regional airliners</t>
  </si>
  <si>
    <t>to compete with ATR &amp; Dash 8 designs</t>
  </si>
  <si>
    <t>aiming for 22 launch &amp; 27/28 service entry</t>
  </si>
  <si>
    <t>A joint-venture with Boeing was announced that would see Boeing owning 80% of Embraer's commercial aviation division</t>
  </si>
  <si>
    <t>This was seen as a reaction to Airbus' acquisition of a majority in Bombardier C-Series in Oct 2017</t>
  </si>
  <si>
    <t>Boeing cancelled it's acquisition of Embraer's commercial operations following impact of COVID &amp; 737-max groundings</t>
  </si>
  <si>
    <t>Embraer would retain it's executive jet &amp; defence business</t>
  </si>
  <si>
    <r>
      <t xml:space="preserve">Boeing announced the resulting division would be known as </t>
    </r>
    <r>
      <rPr>
        <i/>
        <sz val="10"/>
        <color theme="1"/>
        <rFont val="Arial"/>
        <family val="2"/>
      </rPr>
      <t xml:space="preserve">Boeing Brasil - Commercial </t>
    </r>
    <r>
      <rPr>
        <sz val="10"/>
        <color theme="1"/>
        <rFont val="Arial"/>
        <family val="2"/>
      </rPr>
      <t>dropping the Embraer name</t>
    </r>
  </si>
  <si>
    <t>Boeing (49%) and Embraer (51%) announced a joint-venture to promote &amp; develop new markets for the C-390 transport</t>
  </si>
  <si>
    <r>
      <t xml:space="preserve">Aircraft named </t>
    </r>
    <r>
      <rPr>
        <i/>
        <sz val="10"/>
        <color theme="1"/>
        <rFont val="Arial"/>
        <family val="2"/>
      </rPr>
      <t xml:space="preserve">Boeing Embraer - Defense </t>
    </r>
    <r>
      <rPr>
        <sz val="10"/>
        <color theme="1"/>
        <rFont val="Arial"/>
        <family val="2"/>
      </rPr>
      <t>to operate after regulatory approvals &amp; closing conditions</t>
    </r>
  </si>
  <si>
    <t>Despite the termination of the two joint-ventures the agreement of the marketing of C-390 remains but prospects falling</t>
  </si>
  <si>
    <t>(USD Millions)</t>
  </si>
  <si>
    <t>Inventory</t>
  </si>
  <si>
    <t>Commercial Aviation</t>
  </si>
  <si>
    <t>Executive Aviation</t>
  </si>
  <si>
    <t>Defense &amp; Security</t>
  </si>
  <si>
    <t>Services &amp; Support</t>
  </si>
  <si>
    <t>Others</t>
  </si>
  <si>
    <t>https://api.mziq.com/mzfilemanager/v2/d/12a56b3a-7b37-4dba-b80a-f3358bf66b71/0552e176-6b29-4f1c-820c-8020af5b31eb?origin=1</t>
  </si>
  <si>
    <t>Share Price</t>
  </si>
  <si>
    <t>Market Cap</t>
  </si>
  <si>
    <t xml:space="preserve"> </t>
  </si>
  <si>
    <t>Q3</t>
  </si>
  <si>
    <t>https://api.mziq.com/mzfilemanager/v2/d/12a56b3a-7b37-4dba-b80a-f3358bf66b71/6180d10a-38ab-421f-9f8b-22fbb0bcd380?origin=1</t>
  </si>
  <si>
    <t>Embraer 190-E2</t>
  </si>
  <si>
    <t>Large Jets</t>
  </si>
  <si>
    <t>Guarantee Deposits</t>
  </si>
  <si>
    <t>Dividends Payable</t>
  </si>
  <si>
    <t>Financial Guarantee &amp; Residual</t>
  </si>
  <si>
    <t>Q4 21</t>
  </si>
  <si>
    <t>https://api.mziq.com/mzfilemanager/v2/d/12a56b3a-7b37-4dba-b80a-f3358bf66b71/282b37b7-69b6-46c3-86f1-3d03bb11cc0e?origin=1</t>
  </si>
  <si>
    <t>Embraer 190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</si>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</sst>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#,##0.0000"/>
    <numFmt numFmtId="166" formatCode="0.0\x"/>
    <numFmt numFmtId="167" formatCode="0.0"/>
  </numFmts>
  <fonts count="12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u/>
      <sz val="10"/>
      <color theme="10"/>
      <name val="Arai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4" xfId="0" applyFont="1" applyFill="1" applyBorder="1"/>
    <xf numFmtId="0" fontId="3" fillId="0" borderId="0" xfId="0" applyFont="1" applyBorder="1"/>
    <xf numFmtId="0" fontId="2" fillId="3" borderId="6" xfId="0" applyFont="1" applyFill="1" applyBorder="1"/>
    <xf numFmtId="0" fontId="5" fillId="4" borderId="0" xfId="1" applyFont="1" applyFill="1" applyBorder="1"/>
    <xf numFmtId="0" fontId="3" fillId="4" borderId="0" xfId="0" applyFont="1" applyFill="1" applyBorder="1" applyAlignment="1">
      <alignment horizontal="left" indent="1"/>
    </xf>
    <xf numFmtId="17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4" fontId="3" fillId="0" borderId="0" xfId="0" applyNumberFormat="1" applyFont="1" applyBorder="1"/>
    <xf numFmtId="164" fontId="3" fillId="0" borderId="7" xfId="0" applyNumberFormat="1" applyFont="1" applyBorder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15" fontId="7" fillId="0" borderId="0" xfId="0" applyNumberFormat="1" applyFont="1" applyAlignment="1">
      <alignment horizontal="right"/>
    </xf>
    <xf numFmtId="0" fontId="5" fillId="0" borderId="0" xfId="1" applyFont="1" applyAlignment="1">
      <alignment horizontal="right"/>
    </xf>
    <xf numFmtId="9" fontId="3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0" fontId="2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4" borderId="0" xfId="0" applyFont="1" applyFill="1" applyBorder="1" applyAlignment="1">
      <alignment horizontal="center"/>
    </xf>
    <xf numFmtId="16" fontId="3" fillId="4" borderId="5" xfId="0" applyNumberFormat="1" applyFont="1" applyFill="1" applyBorder="1" applyAlignment="1">
      <alignment horizontal="center"/>
    </xf>
    <xf numFmtId="0" fontId="8" fillId="0" borderId="0" xfId="0" applyFont="1"/>
    <xf numFmtId="9" fontId="2" fillId="0" borderId="0" xfId="0" applyNumberFormat="1" applyFont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0" xfId="0" applyFont="1" applyFill="1" applyBorder="1"/>
    <xf numFmtId="0" fontId="3" fillId="4" borderId="5" xfId="0" applyFont="1" applyFill="1" applyBorder="1"/>
    <xf numFmtId="0" fontId="9" fillId="0" borderId="0" xfId="0" applyFont="1"/>
    <xf numFmtId="0" fontId="10" fillId="0" borderId="0" xfId="0" applyFont="1"/>
    <xf numFmtId="0" fontId="2" fillId="4" borderId="4" xfId="0" applyFont="1" applyFill="1" applyBorder="1"/>
    <xf numFmtId="0" fontId="3" fillId="4" borderId="4" xfId="0" applyFont="1" applyFill="1" applyBorder="1"/>
    <xf numFmtId="0" fontId="3" fillId="4" borderId="6" xfId="0" applyFont="1" applyFill="1" applyBorder="1"/>
    <xf numFmtId="0" fontId="3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2"/>
    </xf>
    <xf numFmtId="0" fontId="2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3"/>
    </xf>
    <xf numFmtId="0" fontId="9" fillId="0" borderId="0" xfId="0" applyFont="1" applyAlignment="1">
      <alignment horizontal="left" indent="3"/>
    </xf>
    <xf numFmtId="0" fontId="10" fillId="0" borderId="0" xfId="0" applyFont="1" applyAlignment="1">
      <alignment horizontal="left" indent="2"/>
    </xf>
    <xf numFmtId="0" fontId="3" fillId="4" borderId="0" xfId="0" applyFont="1" applyFill="1" applyBorder="1" applyAlignment="1">
      <alignment horizontal="left" indent="2"/>
    </xf>
    <xf numFmtId="0" fontId="5" fillId="4" borderId="5" xfId="1" applyFont="1" applyFill="1" applyBorder="1" applyAlignment="1">
      <alignment horizontal="center"/>
    </xf>
    <xf numFmtId="164" fontId="9" fillId="0" borderId="0" xfId="0" applyNumberFormat="1" applyFont="1"/>
    <xf numFmtId="0" fontId="6" fillId="0" borderId="0" xfId="0" applyFont="1" applyAlignment="1">
      <alignment horizontal="left"/>
    </xf>
    <xf numFmtId="0" fontId="3" fillId="4" borderId="7" xfId="0" applyFont="1" applyFill="1" applyBorder="1" applyAlignment="1">
      <alignment horizontal="left" indent="1"/>
    </xf>
    <xf numFmtId="164" fontId="9" fillId="0" borderId="0" xfId="0" applyNumberFormat="1" applyFont="1" applyAlignment="1">
      <alignment horizontal="left" indent="1"/>
    </xf>
    <xf numFmtId="164" fontId="2" fillId="0" borderId="0" xfId="0" applyNumberFormat="1" applyFont="1" applyAlignment="1">
      <alignment wrapText="1"/>
    </xf>
    <xf numFmtId="166" fontId="3" fillId="0" borderId="0" xfId="0" applyNumberFormat="1" applyFont="1"/>
    <xf numFmtId="0" fontId="11" fillId="0" borderId="0" xfId="1" applyFont="1" applyAlignment="1">
      <alignment horizontal="right"/>
    </xf>
    <xf numFmtId="167" fontId="3" fillId="0" borderId="0" xfId="0" applyNumberFormat="1" applyFont="1"/>
    <xf numFmtId="0" fontId="3" fillId="4" borderId="0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166" fontId="3" fillId="4" borderId="0" xfId="0" applyNumberFormat="1" applyFont="1" applyFill="1" applyBorder="1" applyAlignment="1">
      <alignment horizontal="center"/>
    </xf>
    <xf numFmtId="166" fontId="3" fillId="4" borderId="5" xfId="0" applyNumberFormat="1" applyFont="1" applyFill="1" applyBorder="1" applyAlignment="1">
      <alignment horizontal="center"/>
    </xf>
    <xf numFmtId="164" fontId="3" fillId="4" borderId="0" xfId="0" applyNumberFormat="1" applyFont="1" applyFill="1" applyBorder="1" applyAlignment="1">
      <alignment horizontal="center"/>
    </xf>
    <xf numFmtId="164" fontId="3" fillId="4" borderId="5" xfId="0" applyNumberFormat="1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166" fontId="3" fillId="4" borderId="7" xfId="0" applyNumberFormat="1" applyFont="1" applyFill="1" applyBorder="1" applyAlignment="1">
      <alignment horizontal="center"/>
    </xf>
    <xf numFmtId="166" fontId="3" fillId="4" borderId="8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0</xdr:row>
      <xdr:rowOff>133350</xdr:rowOff>
    </xdr:from>
    <xdr:to>
      <xdr:col>5</xdr:col>
      <xdr:colOff>514350</xdr:colOff>
      <xdr:row>2</xdr:row>
      <xdr:rowOff>91634</xdr:rowOff>
    </xdr:to>
    <xdr:pic>
      <xdr:nvPicPr>
        <xdr:cNvPr id="2" name="Picture 1" descr="File:Embraer logo.png - Wikimedia Commons">
          <a:extLst>
            <a:ext uri="{FF2B5EF4-FFF2-40B4-BE49-F238E27FC236}">
              <a16:creationId xmlns:a16="http://schemas.microsoft.com/office/drawing/2014/main" id="{17D0185E-01A2-43A3-9959-D89860734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33350"/>
          <a:ext cx="1847850" cy="3107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19050</xdr:colOff>
      <xdr:row>0</xdr:row>
      <xdr:rowOff>0</xdr:rowOff>
    </xdr:from>
    <xdr:to>
      <xdr:col>20</xdr:col>
      <xdr:colOff>19050</xdr:colOff>
      <xdr:row>140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2E1A1CF-2AC4-48FF-BF51-49F66CB9A1C7}"/>
            </a:ext>
          </a:extLst>
        </xdr:cNvPr>
        <xdr:cNvCxnSpPr/>
      </xdr:nvCxnSpPr>
      <xdr:spPr>
        <a:xfrm>
          <a:off x="13315950" y="0"/>
          <a:ext cx="0" cy="225361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9525</xdr:colOff>
      <xdr:row>0</xdr:row>
      <xdr:rowOff>0</xdr:rowOff>
    </xdr:from>
    <xdr:to>
      <xdr:col>28</xdr:col>
      <xdr:colOff>9525</xdr:colOff>
      <xdr:row>140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007EFC8-8ABF-4185-9C82-30D99B567515}"/>
            </a:ext>
          </a:extLst>
        </xdr:cNvPr>
        <xdr:cNvCxnSpPr/>
      </xdr:nvCxnSpPr>
      <xdr:spPr>
        <a:xfrm>
          <a:off x="18183225" y="0"/>
          <a:ext cx="0" cy="227171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i.embraer.com.br/en/" TargetMode="External"/><Relationship Id="rId2" Type="http://schemas.openxmlformats.org/officeDocument/2006/relationships/hyperlink" Target="https://aviationsourcenews.com/news/royal-jordanian-signs-mou-for-10-embraer-e2-aircraft/" TargetMode="External"/><Relationship Id="rId1" Type="http://schemas.openxmlformats.org/officeDocument/2006/relationships/hyperlink" Target="https://finance.yahoo.com/news/brazils-embraer-gets-fresh-e195-142739784.html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en.wikipedia.org/wiki/Boeing%E2%80%93Embraer_joint_ventur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pi.mziq.com/mzfilemanager/v2/d/12a56b3a-7b37-4dba-b80a-f3358bf66b71/4f0fe7bc-3e0a-4bdb-8281-e0421dabd505?origin=1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api.mziq.com/mzfilemanager/v2/d/12a56b3a-7b37-4dba-b80a-f3358bf66b71/69d4b51b-1ee5-4d3a-b189-674341e04a02?origin=1" TargetMode="External"/><Relationship Id="rId1" Type="http://schemas.openxmlformats.org/officeDocument/2006/relationships/hyperlink" Target="https://api.mziq.com/mzfilemanager/v2/d/12a56b3a-7b37-4dba-b80a-f3358bf66b71/3e83c304-7e9d-fc5f-58b9-17dd2466249a?origin=1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api.mziq.com/mzfilemanager/v2/d/12a56b3a-7b37-4dba-b80a-f3358bf66b71/5e5e8198-feaa-4055-ba7b-da1086391e81?origin=1" TargetMode="External"/><Relationship Id="rId4" Type="http://schemas.openxmlformats.org/officeDocument/2006/relationships/hyperlink" Target="https://api.mziq.com/mzfilemanager/v2/d/12a56b3a-7b37-4dba-b80a-f3358bf66b71/5e5e8198-feaa-4055-ba7b-da1086391e81?origin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F324B-1DEB-44A7-A7E2-319E26170844}">
  <dimension ref="A2:X42"/>
  <sheetViews>
    <sheetView tabSelected="1" workbookViewId="0">
      <selection activeCell="G27" sqref="G27:H28"/>
    </sheetView>
  </sheetViews>
  <sheetFormatPr defaultRowHeight="12.75"/>
  <cols>
    <col min="1" max="16384" width="9.140625" style="3"/>
  </cols>
  <sheetData>
    <row r="2" spans="1:24" ht="15">
      <c r="B2" s="1" t="s">
        <v>0</v>
      </c>
      <c r="D2"/>
    </row>
    <row r="3" spans="1:24">
      <c r="B3" s="2" t="s">
        <v>1</v>
      </c>
    </row>
    <row r="5" spans="1:24">
      <c r="B5" s="61" t="s">
        <v>2</v>
      </c>
      <c r="C5" s="62"/>
      <c r="D5" s="63"/>
      <c r="G5" s="61" t="s">
        <v>10</v>
      </c>
      <c r="H5" s="62"/>
      <c r="I5" s="62"/>
      <c r="J5" s="62"/>
      <c r="K5" s="62"/>
      <c r="L5" s="62"/>
      <c r="M5" s="62"/>
      <c r="N5" s="62"/>
      <c r="O5" s="62"/>
      <c r="P5" s="62"/>
      <c r="Q5" s="62"/>
      <c r="R5" s="63"/>
      <c r="U5" s="61" t="s">
        <v>133</v>
      </c>
      <c r="V5" s="62"/>
      <c r="W5" s="62"/>
      <c r="X5" s="63"/>
    </row>
    <row r="6" spans="1:24">
      <c r="B6" s="4" t="s">
        <v>3</v>
      </c>
      <c r="C6" s="5">
        <v>9.4499999999999993</v>
      </c>
      <c r="D6" s="18"/>
      <c r="G6" s="9">
        <v>44470</v>
      </c>
      <c r="H6" s="7" t="s">
        <v>11</v>
      </c>
      <c r="I6" s="37"/>
      <c r="J6" s="37"/>
      <c r="K6" s="37"/>
      <c r="L6" s="37"/>
      <c r="M6" s="37"/>
      <c r="N6" s="37"/>
      <c r="O6" s="37"/>
      <c r="P6" s="37"/>
      <c r="Q6" s="37"/>
      <c r="R6" s="38"/>
      <c r="U6" s="41" t="s">
        <v>148</v>
      </c>
      <c r="V6" s="37"/>
      <c r="W6" s="37"/>
      <c r="X6" s="38"/>
    </row>
    <row r="7" spans="1:24">
      <c r="B7" s="4" t="s">
        <v>4</v>
      </c>
      <c r="C7" s="5">
        <v>734.6</v>
      </c>
      <c r="D7" s="18" t="str">
        <f>$C$28</f>
        <v>Q222</v>
      </c>
      <c r="G7" s="10"/>
      <c r="H7" s="8" t="s">
        <v>12</v>
      </c>
      <c r="I7" s="37"/>
      <c r="J7" s="37"/>
      <c r="K7" s="37"/>
      <c r="L7" s="37"/>
      <c r="M7" s="37"/>
      <c r="N7" s="37"/>
      <c r="O7" s="37"/>
      <c r="P7" s="37"/>
      <c r="Q7" s="37"/>
      <c r="R7" s="38"/>
      <c r="U7" s="46" t="s">
        <v>84</v>
      </c>
      <c r="V7" s="37"/>
      <c r="W7" s="37"/>
      <c r="X7" s="38"/>
    </row>
    <row r="8" spans="1:24">
      <c r="B8" s="4" t="s">
        <v>5</v>
      </c>
      <c r="C8" s="12">
        <f>C6*C7</f>
        <v>6941.9699999999993</v>
      </c>
      <c r="D8" s="18"/>
      <c r="G8" s="10"/>
      <c r="H8" s="8" t="s">
        <v>13</v>
      </c>
      <c r="I8" s="37"/>
      <c r="J8" s="37"/>
      <c r="K8" s="37"/>
      <c r="L8" s="37"/>
      <c r="M8" s="37"/>
      <c r="N8" s="37"/>
      <c r="O8" s="37"/>
      <c r="P8" s="37"/>
      <c r="Q8" s="37"/>
      <c r="R8" s="38"/>
      <c r="U8" s="45" t="s">
        <v>137</v>
      </c>
      <c r="V8" s="37"/>
      <c r="W8" s="37"/>
      <c r="X8" s="38"/>
    </row>
    <row r="9" spans="1:24">
      <c r="B9" s="4" t="s">
        <v>6</v>
      </c>
      <c r="C9" s="12">
        <f>'Financial Model'!S113</f>
        <v>2104.1999999999998</v>
      </c>
      <c r="D9" s="18" t="str">
        <f>$C$28</f>
        <v>Q222</v>
      </c>
      <c r="G9" s="10"/>
      <c r="H9" s="37"/>
      <c r="I9" s="37"/>
      <c r="J9" s="37"/>
      <c r="K9" s="37"/>
      <c r="L9" s="37"/>
      <c r="M9" s="37"/>
      <c r="N9" s="37"/>
      <c r="O9" s="37"/>
      <c r="P9" s="37"/>
      <c r="Q9" s="37"/>
      <c r="R9" s="38"/>
      <c r="U9" s="47" t="s">
        <v>151</v>
      </c>
      <c r="V9" s="37"/>
      <c r="W9" s="37"/>
      <c r="X9" s="38"/>
    </row>
    <row r="10" spans="1:24">
      <c r="B10" s="4" t="s">
        <v>7</v>
      </c>
      <c r="C10" s="12">
        <f>'Financial Model'!T114</f>
        <v>3173.8999999999996</v>
      </c>
      <c r="D10" s="18" t="str">
        <f>$C$28</f>
        <v>Q222</v>
      </c>
      <c r="G10" s="9">
        <v>44470</v>
      </c>
      <c r="H10" s="7" t="s">
        <v>29</v>
      </c>
      <c r="I10" s="37"/>
      <c r="J10" s="37"/>
      <c r="K10" s="37"/>
      <c r="L10" s="37"/>
      <c r="M10" s="37"/>
      <c r="N10" s="37"/>
      <c r="O10" s="37"/>
      <c r="P10" s="37"/>
      <c r="Q10" s="37"/>
      <c r="R10" s="38"/>
      <c r="U10" s="47" t="s">
        <v>152</v>
      </c>
      <c r="V10" s="37"/>
      <c r="W10" s="37"/>
      <c r="X10" s="38"/>
    </row>
    <row r="11" spans="1:24">
      <c r="B11" s="4" t="s">
        <v>8</v>
      </c>
      <c r="C11" s="12">
        <f>C9-C10</f>
        <v>-1069.6999999999998</v>
      </c>
      <c r="D11" s="18" t="str">
        <f>$C$28</f>
        <v>Q222</v>
      </c>
      <c r="G11" s="10"/>
      <c r="H11" s="8" t="s">
        <v>30</v>
      </c>
      <c r="I11" s="37"/>
      <c r="J11" s="37"/>
      <c r="K11" s="37"/>
      <c r="L11" s="37"/>
      <c r="M11" s="37"/>
      <c r="N11" s="37"/>
      <c r="O11" s="37"/>
      <c r="P11" s="37"/>
      <c r="Q11" s="37"/>
      <c r="R11" s="38"/>
      <c r="U11" s="47" t="s">
        <v>153</v>
      </c>
      <c r="V11" s="37"/>
      <c r="W11" s="37"/>
      <c r="X11" s="38"/>
    </row>
    <row r="12" spans="1:24">
      <c r="B12" s="6" t="s">
        <v>9</v>
      </c>
      <c r="C12" s="13">
        <f>C8-C11</f>
        <v>8011.6699999999992</v>
      </c>
      <c r="D12" s="19"/>
      <c r="G12" s="10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8"/>
      <c r="U12" s="42"/>
      <c r="V12" s="37"/>
      <c r="W12" s="37"/>
      <c r="X12" s="38"/>
    </row>
    <row r="13" spans="1:24">
      <c r="G13" s="10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8"/>
      <c r="U13" s="45" t="s">
        <v>138</v>
      </c>
      <c r="V13" s="37"/>
      <c r="W13" s="37"/>
      <c r="X13" s="38"/>
    </row>
    <row r="14" spans="1:24">
      <c r="G14" s="10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8"/>
      <c r="U14" s="47" t="s">
        <v>154</v>
      </c>
      <c r="V14" s="37"/>
      <c r="W14" s="37"/>
      <c r="X14" s="38"/>
    </row>
    <row r="15" spans="1:24">
      <c r="B15" s="61" t="s">
        <v>14</v>
      </c>
      <c r="C15" s="62"/>
      <c r="D15" s="63"/>
      <c r="G15" s="10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8"/>
      <c r="U15" s="47" t="s">
        <v>155</v>
      </c>
      <c r="V15" s="37"/>
      <c r="W15" s="37"/>
      <c r="X15" s="38"/>
    </row>
    <row r="16" spans="1:24">
      <c r="A16" s="14" t="s">
        <v>16</v>
      </c>
      <c r="B16" s="16" t="s">
        <v>15</v>
      </c>
      <c r="C16" s="64" t="s">
        <v>18</v>
      </c>
      <c r="D16" s="65"/>
      <c r="G16" s="10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8"/>
      <c r="U16" s="47" t="s">
        <v>156</v>
      </c>
      <c r="V16" s="37"/>
      <c r="W16" s="37"/>
      <c r="X16" s="38"/>
    </row>
    <row r="17" spans="2:24">
      <c r="B17" s="16" t="s">
        <v>17</v>
      </c>
      <c r="C17" s="64" t="s">
        <v>19</v>
      </c>
      <c r="D17" s="65"/>
      <c r="G17" s="9">
        <v>43922</v>
      </c>
      <c r="H17" s="37" t="s">
        <v>164</v>
      </c>
      <c r="I17" s="37"/>
      <c r="J17" s="37"/>
      <c r="K17" s="37"/>
      <c r="L17" s="37"/>
      <c r="M17" s="37"/>
      <c r="N17" s="37"/>
      <c r="O17" s="37"/>
      <c r="P17" s="37"/>
      <c r="Q17" s="37"/>
      <c r="R17" s="38"/>
      <c r="U17" s="42"/>
      <c r="V17" s="37"/>
      <c r="W17" s="37"/>
      <c r="X17" s="38"/>
    </row>
    <row r="18" spans="2:24">
      <c r="B18" s="16"/>
      <c r="C18" s="64"/>
      <c r="D18" s="65"/>
      <c r="G18" s="10"/>
      <c r="H18" s="8" t="s">
        <v>169</v>
      </c>
      <c r="I18" s="37"/>
      <c r="J18" s="37"/>
      <c r="K18" s="37"/>
      <c r="L18" s="37"/>
      <c r="M18" s="37"/>
      <c r="N18" s="37"/>
      <c r="O18" s="37"/>
      <c r="P18" s="37"/>
      <c r="Q18" s="37"/>
      <c r="R18" s="38"/>
      <c r="U18" s="46" t="s">
        <v>139</v>
      </c>
      <c r="V18" s="37"/>
      <c r="W18" s="37"/>
      <c r="X18" s="38"/>
    </row>
    <row r="19" spans="2:24">
      <c r="B19" s="17"/>
      <c r="C19" s="72"/>
      <c r="D19" s="73"/>
      <c r="G19" s="10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51" t="s">
        <v>31</v>
      </c>
      <c r="U19" s="45" t="s">
        <v>142</v>
      </c>
      <c r="V19" s="37"/>
      <c r="W19" s="37"/>
      <c r="X19" s="38"/>
    </row>
    <row r="20" spans="2:24">
      <c r="G20" s="10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8"/>
      <c r="U20" s="45" t="s">
        <v>141</v>
      </c>
      <c r="V20" s="37"/>
      <c r="W20" s="37"/>
      <c r="X20" s="38"/>
    </row>
    <row r="21" spans="2:24">
      <c r="G21" s="10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8"/>
      <c r="U21" s="45" t="s">
        <v>140</v>
      </c>
      <c r="V21" s="37"/>
      <c r="W21" s="37"/>
      <c r="X21" s="38"/>
    </row>
    <row r="22" spans="2:24">
      <c r="B22" s="61" t="s">
        <v>20</v>
      </c>
      <c r="C22" s="62"/>
      <c r="D22" s="63"/>
      <c r="G22" s="10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8"/>
      <c r="U22" s="45" t="s">
        <v>157</v>
      </c>
      <c r="V22" s="37"/>
      <c r="W22" s="37"/>
      <c r="X22" s="38"/>
    </row>
    <row r="23" spans="2:24">
      <c r="B23" s="10" t="s">
        <v>21</v>
      </c>
      <c r="C23" s="64" t="s">
        <v>132</v>
      </c>
      <c r="D23" s="65"/>
      <c r="G23" s="10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8"/>
      <c r="U23" s="42"/>
      <c r="V23" s="37"/>
      <c r="W23" s="37"/>
      <c r="X23" s="38"/>
    </row>
    <row r="24" spans="2:24">
      <c r="B24" s="10" t="s">
        <v>22</v>
      </c>
      <c r="C24" s="64">
        <v>1969</v>
      </c>
      <c r="D24" s="65"/>
      <c r="G24" s="10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8"/>
      <c r="U24" s="46" t="s">
        <v>143</v>
      </c>
      <c r="V24" s="37"/>
      <c r="W24" s="37"/>
      <c r="X24" s="38"/>
    </row>
    <row r="25" spans="2:24">
      <c r="B25" s="10"/>
      <c r="C25" s="64"/>
      <c r="D25" s="65"/>
      <c r="G25" s="9">
        <v>43770</v>
      </c>
      <c r="H25" s="37" t="s">
        <v>167</v>
      </c>
      <c r="I25" s="37"/>
      <c r="J25" s="37"/>
      <c r="K25" s="37"/>
      <c r="L25" s="37"/>
      <c r="M25" s="37"/>
      <c r="N25" s="37"/>
      <c r="O25" s="37"/>
      <c r="P25" s="37"/>
      <c r="Q25" s="37"/>
      <c r="R25" s="38"/>
      <c r="U25" s="45" t="s">
        <v>144</v>
      </c>
      <c r="V25" s="37"/>
      <c r="W25" s="37"/>
      <c r="X25" s="38"/>
    </row>
    <row r="26" spans="2:24">
      <c r="B26" s="10" t="s">
        <v>171</v>
      </c>
      <c r="C26" s="70">
        <f>'Financial Model'!T60</f>
        <v>2392.9</v>
      </c>
      <c r="D26" s="71"/>
      <c r="G26" s="10"/>
      <c r="H26" s="50" t="s">
        <v>168</v>
      </c>
      <c r="I26" s="37"/>
      <c r="J26" s="37"/>
      <c r="K26" s="37"/>
      <c r="L26" s="37"/>
      <c r="M26" s="37"/>
      <c r="N26" s="37"/>
      <c r="O26" s="37"/>
      <c r="P26" s="37"/>
      <c r="Q26" s="37"/>
      <c r="R26" s="38"/>
      <c r="U26" s="45" t="s">
        <v>145</v>
      </c>
      <c r="V26" s="37"/>
      <c r="W26" s="37"/>
      <c r="X26" s="38"/>
    </row>
    <row r="27" spans="2:24">
      <c r="B27" s="10"/>
      <c r="C27" s="64"/>
      <c r="D27" s="65"/>
      <c r="G27" s="10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8"/>
      <c r="U27" s="45" t="s">
        <v>146</v>
      </c>
      <c r="V27" s="37"/>
      <c r="W27" s="37"/>
      <c r="X27" s="38"/>
    </row>
    <row r="28" spans="2:24">
      <c r="B28" s="10" t="s">
        <v>23</v>
      </c>
      <c r="C28" s="31" t="s">
        <v>49</v>
      </c>
      <c r="D28" s="32">
        <v>44777</v>
      </c>
      <c r="G28" s="10"/>
      <c r="H28" s="60"/>
      <c r="I28" s="37"/>
      <c r="J28" s="37"/>
      <c r="K28" s="37"/>
      <c r="L28" s="37"/>
      <c r="M28" s="37"/>
      <c r="N28" s="37"/>
      <c r="O28" s="37"/>
      <c r="P28" s="37"/>
      <c r="Q28" s="37" t="s">
        <v>180</v>
      </c>
      <c r="R28" s="38"/>
      <c r="U28" s="45" t="s">
        <v>147</v>
      </c>
      <c r="V28" s="37"/>
      <c r="W28" s="37"/>
      <c r="X28" s="38"/>
    </row>
    <row r="29" spans="2:24">
      <c r="B29" s="11" t="s">
        <v>24</v>
      </c>
      <c r="C29" s="66" t="s">
        <v>31</v>
      </c>
      <c r="D29" s="67"/>
      <c r="G29" s="9">
        <v>43586</v>
      </c>
      <c r="H29" s="60" t="s">
        <v>166</v>
      </c>
      <c r="I29" s="37"/>
      <c r="J29" s="37"/>
      <c r="K29" s="37"/>
      <c r="L29" s="37"/>
      <c r="M29" s="37"/>
      <c r="N29" s="37"/>
      <c r="O29" s="37"/>
      <c r="P29" s="37"/>
      <c r="Q29" s="37"/>
      <c r="R29" s="38"/>
      <c r="U29" s="42"/>
      <c r="V29" s="37"/>
      <c r="W29" s="37"/>
      <c r="X29" s="38"/>
    </row>
    <row r="30" spans="2:24">
      <c r="G30" s="10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8"/>
      <c r="U30" s="42"/>
      <c r="V30" s="37"/>
      <c r="W30" s="37"/>
      <c r="X30" s="38"/>
    </row>
    <row r="31" spans="2:24">
      <c r="G31" s="10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8"/>
      <c r="U31" s="46" t="s">
        <v>149</v>
      </c>
      <c r="V31" s="37"/>
      <c r="W31" s="37"/>
      <c r="X31" s="38"/>
    </row>
    <row r="32" spans="2:24">
      <c r="B32" s="61" t="s">
        <v>25</v>
      </c>
      <c r="C32" s="62"/>
      <c r="D32" s="63"/>
      <c r="G32" s="10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8"/>
      <c r="U32" s="45" t="s">
        <v>150</v>
      </c>
      <c r="V32" s="37"/>
      <c r="W32" s="37"/>
      <c r="X32" s="38"/>
    </row>
    <row r="33" spans="2:24">
      <c r="B33" s="10" t="s">
        <v>26</v>
      </c>
      <c r="C33" s="68">
        <f>C6/'Financial Model'!T111</f>
        <v>2.4165314860584122</v>
      </c>
      <c r="D33" s="69"/>
      <c r="G33" s="10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8"/>
      <c r="U33" s="42"/>
      <c r="V33" s="37"/>
      <c r="W33" s="37"/>
      <c r="X33" s="38"/>
    </row>
    <row r="34" spans="2:24">
      <c r="B34" s="10" t="s">
        <v>27</v>
      </c>
      <c r="C34" s="68">
        <f>C6/'Financial Model'!AB9</f>
        <v>2.2515010006671113E-3</v>
      </c>
      <c r="D34" s="69"/>
      <c r="G34" s="9">
        <v>43282</v>
      </c>
      <c r="H34" s="37" t="s">
        <v>162</v>
      </c>
      <c r="I34" s="37"/>
      <c r="J34" s="37"/>
      <c r="K34" s="37"/>
      <c r="L34" s="37"/>
      <c r="M34" s="37"/>
      <c r="N34" s="37"/>
      <c r="O34" s="37"/>
      <c r="P34" s="37"/>
      <c r="Q34" s="37"/>
      <c r="R34" s="38"/>
      <c r="U34" s="43"/>
      <c r="V34" s="35"/>
      <c r="W34" s="35"/>
      <c r="X34" s="36"/>
    </row>
    <row r="35" spans="2:24">
      <c r="B35" s="11" t="s">
        <v>28</v>
      </c>
      <c r="C35" s="74">
        <f>C6/'Financial Model'!AB26</f>
        <v>-155.32248322147649</v>
      </c>
      <c r="D35" s="75"/>
      <c r="G35" s="10"/>
      <c r="H35" s="8" t="s">
        <v>163</v>
      </c>
      <c r="I35" s="37"/>
      <c r="J35" s="37"/>
      <c r="K35" s="37"/>
      <c r="L35" s="37"/>
      <c r="M35" s="37"/>
      <c r="N35" s="37"/>
      <c r="O35" s="37"/>
      <c r="P35" s="37"/>
      <c r="Q35" s="37"/>
      <c r="R35" s="38"/>
    </row>
    <row r="36" spans="2:24">
      <c r="G36" s="11"/>
      <c r="H36" s="54" t="s">
        <v>165</v>
      </c>
      <c r="I36" s="35"/>
      <c r="J36" s="35"/>
      <c r="K36" s="35"/>
      <c r="L36" s="35"/>
      <c r="M36" s="35"/>
      <c r="N36" s="35"/>
      <c r="O36" s="35"/>
      <c r="P36" s="35"/>
      <c r="Q36" s="35"/>
      <c r="R36" s="36"/>
    </row>
    <row r="37" spans="2:24">
      <c r="U37" s="61" t="s">
        <v>158</v>
      </c>
      <c r="V37" s="62"/>
      <c r="W37" s="62"/>
      <c r="X37" s="63"/>
    </row>
    <row r="38" spans="2:24">
      <c r="U38" s="42" t="s">
        <v>159</v>
      </c>
      <c r="V38" s="37"/>
      <c r="W38" s="37"/>
      <c r="X38" s="38"/>
    </row>
    <row r="39" spans="2:24">
      <c r="U39" s="44" t="s">
        <v>160</v>
      </c>
      <c r="V39" s="37"/>
      <c r="W39" s="37"/>
      <c r="X39" s="38"/>
    </row>
    <row r="40" spans="2:24">
      <c r="U40" s="44" t="s">
        <v>161</v>
      </c>
      <c r="V40" s="37"/>
      <c r="W40" s="37"/>
      <c r="X40" s="38"/>
    </row>
    <row r="41" spans="2:24">
      <c r="U41" s="42"/>
      <c r="V41" s="37"/>
      <c r="W41" s="37"/>
      <c r="X41" s="38"/>
    </row>
    <row r="42" spans="2:24">
      <c r="U42" s="43"/>
      <c r="V42" s="35"/>
      <c r="W42" s="35"/>
      <c r="X42" s="36"/>
    </row>
  </sheetData>
  <mergeCells count="20">
    <mergeCell ref="U5:X5"/>
    <mergeCell ref="C26:D26"/>
    <mergeCell ref="B5:D5"/>
    <mergeCell ref="G5:R5"/>
    <mergeCell ref="B15:D15"/>
    <mergeCell ref="C16:D16"/>
    <mergeCell ref="C17:D17"/>
    <mergeCell ref="C18:D18"/>
    <mergeCell ref="C19:D19"/>
    <mergeCell ref="B22:D22"/>
    <mergeCell ref="C23:D23"/>
    <mergeCell ref="C24:D24"/>
    <mergeCell ref="C25:D25"/>
    <mergeCell ref="U37:X37"/>
    <mergeCell ref="C35:D35"/>
    <mergeCell ref="C27:D27"/>
    <mergeCell ref="C29:D29"/>
    <mergeCell ref="B32:D32"/>
    <mergeCell ref="C33:D33"/>
    <mergeCell ref="C34:D34"/>
  </mergeCells>
  <hyperlinks>
    <hyperlink ref="H6" r:id="rId1" xr:uid="{0E1650AB-35EE-47C2-9B99-22A7BB88CC6F}"/>
    <hyperlink ref="H10" r:id="rId2" xr:uid="{64917365-2EAB-45F1-BFD3-E1E4F5A494BB}"/>
    <hyperlink ref="C29:D29" r:id="rId3" display="Link" xr:uid="{11C3F337-5FA5-4654-84A9-81E0FD7B340B}"/>
    <hyperlink ref="R19" r:id="rId4" location="Boeing_Embraer_-_Defense" xr:uid="{CC492105-8696-4FC6-849B-A673602C4CB8}"/>
  </hyperlinks>
  <pageMargins left="0.7" right="0.7" top="0.75" bottom="0.75" header="0.3" footer="0.3"/>
  <pageSetup paperSize="256" orientation="portrait" horizontalDpi="203" verticalDpi="203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70B2A-3077-4926-AE7B-39AF91889CD9}">
  <dimension ref="B1:AL128"/>
  <sheetViews>
    <sheetView workbookViewId="0">
      <pane xSplit="2" ySplit="3" topLeftCell="H4" activePane="bottomRight" state="frozen"/>
      <selection pane="topRight" activeCell="C1" sqref="C1"/>
      <selection pane="bottomLeft" activeCell="A4" sqref="A4"/>
      <selection pane="bottomRight" activeCell="T127" sqref="T127"/>
    </sheetView>
  </sheetViews>
  <sheetFormatPr defaultRowHeight="12.75"/>
  <cols>
    <col min="1" max="1" width="4" style="3" customWidth="1"/>
    <col min="2" max="2" width="30.85546875" style="3" bestFit="1" customWidth="1"/>
    <col min="3" max="19" width="9.140625" style="3"/>
    <col min="20" max="20" width="9.140625" style="3" customWidth="1"/>
    <col min="21" max="16384" width="9.140625" style="3"/>
  </cols>
  <sheetData>
    <row r="1" spans="2:38" s="15" customFormat="1">
      <c r="B1" s="53" t="s">
        <v>170</v>
      </c>
      <c r="C1" s="15" t="s">
        <v>32</v>
      </c>
      <c r="D1" s="15" t="s">
        <v>33</v>
      </c>
      <c r="E1" s="15" t="s">
        <v>34</v>
      </c>
      <c r="F1" s="15" t="s">
        <v>35</v>
      </c>
      <c r="G1" s="15" t="s">
        <v>36</v>
      </c>
      <c r="H1" s="15" t="s">
        <v>37</v>
      </c>
      <c r="I1" s="15" t="s">
        <v>38</v>
      </c>
      <c r="J1" s="15" t="s">
        <v>39</v>
      </c>
      <c r="K1" s="15" t="s">
        <v>40</v>
      </c>
      <c r="L1" s="15" t="s">
        <v>41</v>
      </c>
      <c r="M1" s="15" t="s">
        <v>42</v>
      </c>
      <c r="N1" s="15" t="s">
        <v>43</v>
      </c>
      <c r="O1" s="15" t="s">
        <v>44</v>
      </c>
      <c r="P1" s="15" t="s">
        <v>45</v>
      </c>
      <c r="Q1" s="58" t="s">
        <v>46</v>
      </c>
      <c r="R1" s="24" t="s">
        <v>47</v>
      </c>
      <c r="S1" s="24" t="s">
        <v>48</v>
      </c>
      <c r="T1" s="24" t="s">
        <v>49</v>
      </c>
      <c r="U1" s="15" t="s">
        <v>75</v>
      </c>
      <c r="V1" s="15" t="s">
        <v>76</v>
      </c>
      <c r="Y1" s="15" t="s">
        <v>77</v>
      </c>
      <c r="Z1" s="15" t="s">
        <v>78</v>
      </c>
      <c r="AA1" s="15" t="s">
        <v>79</v>
      </c>
      <c r="AB1" s="24" t="s">
        <v>80</v>
      </c>
      <c r="AC1" s="15" t="s">
        <v>81</v>
      </c>
      <c r="AD1" s="15" t="s">
        <v>123</v>
      </c>
      <c r="AE1" s="15" t="s">
        <v>124</v>
      </c>
      <c r="AF1" s="15" t="s">
        <v>125</v>
      </c>
      <c r="AG1" s="15" t="s">
        <v>126</v>
      </c>
      <c r="AH1" s="15" t="s">
        <v>127</v>
      </c>
      <c r="AI1" s="15" t="s">
        <v>128</v>
      </c>
      <c r="AJ1" s="15" t="s">
        <v>129</v>
      </c>
      <c r="AK1" s="15" t="s">
        <v>130</v>
      </c>
      <c r="AL1" s="15" t="s">
        <v>131</v>
      </c>
    </row>
    <row r="2" spans="2:38" s="21" customFormat="1">
      <c r="B2" s="20"/>
      <c r="M2" s="22">
        <v>44104</v>
      </c>
      <c r="N2" s="22">
        <v>44196</v>
      </c>
      <c r="O2" s="22">
        <v>44286</v>
      </c>
      <c r="P2" s="22">
        <v>44377</v>
      </c>
      <c r="Q2" s="22">
        <v>44469</v>
      </c>
      <c r="R2" s="22">
        <v>44561</v>
      </c>
      <c r="S2" s="22">
        <v>44651</v>
      </c>
      <c r="T2" s="22">
        <v>44742</v>
      </c>
      <c r="AA2" s="22">
        <v>44196</v>
      </c>
      <c r="AB2" s="22">
        <v>44561</v>
      </c>
    </row>
    <row r="3" spans="2:38" s="21" customFormat="1">
      <c r="B3" s="20"/>
      <c r="P3" s="23"/>
      <c r="Q3" s="23">
        <v>44505</v>
      </c>
      <c r="R3" s="23">
        <v>44629</v>
      </c>
      <c r="S3" s="23">
        <v>44679</v>
      </c>
      <c r="T3" s="23">
        <v>44777</v>
      </c>
      <c r="AB3" s="23">
        <v>44629</v>
      </c>
    </row>
    <row r="4" spans="2:38" s="52" customFormat="1">
      <c r="B4" s="55" t="s">
        <v>172</v>
      </c>
      <c r="M4" s="52">
        <v>177.2</v>
      </c>
      <c r="N4" s="52">
        <v>689.4</v>
      </c>
      <c r="O4" s="52">
        <v>272.2</v>
      </c>
      <c r="P4" s="52">
        <v>388.5</v>
      </c>
      <c r="Q4" s="52">
        <v>242</v>
      </c>
      <c r="R4" s="52">
        <v>413.7</v>
      </c>
      <c r="S4" s="52">
        <v>169.2</v>
      </c>
      <c r="T4" s="52">
        <v>299.89999999999998</v>
      </c>
      <c r="AA4" s="52">
        <v>1114.4000000000001</v>
      </c>
      <c r="AB4" s="52">
        <v>1316.4</v>
      </c>
    </row>
    <row r="5" spans="2:38" s="52" customFormat="1">
      <c r="B5" s="55" t="s">
        <v>173</v>
      </c>
      <c r="M5" s="52">
        <v>212.3</v>
      </c>
      <c r="N5" s="52">
        <v>580</v>
      </c>
      <c r="O5" s="52">
        <v>152.1</v>
      </c>
      <c r="P5" s="52">
        <v>266.2</v>
      </c>
      <c r="Q5" s="52">
        <v>256.39999999999998</v>
      </c>
      <c r="R5" s="52">
        <v>455.4</v>
      </c>
      <c r="S5" s="52">
        <v>89.9</v>
      </c>
      <c r="T5" s="52">
        <v>266.7</v>
      </c>
      <c r="AA5" s="52">
        <v>1071.5</v>
      </c>
      <c r="AB5" s="52">
        <v>1130.0999999999999</v>
      </c>
    </row>
    <row r="6" spans="2:38" s="52" customFormat="1">
      <c r="B6" s="55" t="s">
        <v>174</v>
      </c>
      <c r="M6" s="52">
        <v>154.69999999999999</v>
      </c>
      <c r="N6" s="52">
        <v>311.10000000000002</v>
      </c>
      <c r="O6" s="52">
        <v>128.5</v>
      </c>
      <c r="P6" s="52">
        <v>174.9</v>
      </c>
      <c r="Q6" s="52">
        <v>176.5</v>
      </c>
      <c r="R6" s="52">
        <v>114.5</v>
      </c>
      <c r="S6" s="52">
        <v>68.3</v>
      </c>
      <c r="T6" s="52">
        <v>126.6</v>
      </c>
      <c r="AA6" s="52">
        <v>653.9</v>
      </c>
      <c r="AB6" s="52">
        <v>594.4</v>
      </c>
    </row>
    <row r="7" spans="2:38" s="52" customFormat="1">
      <c r="B7" s="55" t="s">
        <v>175</v>
      </c>
      <c r="M7" s="52">
        <v>212.9</v>
      </c>
      <c r="N7" s="52">
        <v>253.5</v>
      </c>
      <c r="O7" s="52">
        <v>250.6</v>
      </c>
      <c r="P7" s="52">
        <v>298</v>
      </c>
      <c r="Q7" s="52">
        <v>276.2</v>
      </c>
      <c r="R7" s="52">
        <v>307.39999999999998</v>
      </c>
      <c r="S7" s="52">
        <v>271.2</v>
      </c>
      <c r="T7" s="52">
        <v>320.10000000000002</v>
      </c>
      <c r="AA7" s="52">
        <v>920</v>
      </c>
      <c r="AB7" s="52">
        <v>1132.2</v>
      </c>
    </row>
    <row r="8" spans="2:38" s="52" customFormat="1">
      <c r="B8" s="55" t="s">
        <v>176</v>
      </c>
      <c r="M8" s="52">
        <v>1.6</v>
      </c>
      <c r="N8" s="52">
        <v>7.4</v>
      </c>
      <c r="O8" s="52">
        <v>3.9</v>
      </c>
      <c r="P8" s="52">
        <v>2.9</v>
      </c>
      <c r="Q8" s="52">
        <v>7</v>
      </c>
      <c r="R8" s="52">
        <v>10.3</v>
      </c>
      <c r="S8" s="52">
        <v>2.2999999999999998</v>
      </c>
      <c r="T8" s="52">
        <v>5.6</v>
      </c>
      <c r="AA8" s="52">
        <v>11.3</v>
      </c>
      <c r="AB8" s="52">
        <v>24.1</v>
      </c>
    </row>
    <row r="9" spans="2:38" s="26" customFormat="1">
      <c r="B9" s="26" t="s">
        <v>50</v>
      </c>
      <c r="C9" s="56"/>
      <c r="M9" s="26">
        <v>758.7</v>
      </c>
      <c r="N9" s="26">
        <v>1841.4</v>
      </c>
      <c r="O9" s="26">
        <v>807.3</v>
      </c>
      <c r="P9" s="26">
        <v>1130.5</v>
      </c>
      <c r="Q9" s="26">
        <v>958.1</v>
      </c>
      <c r="R9" s="26">
        <v>1301.3</v>
      </c>
      <c r="S9" s="26">
        <v>600.9</v>
      </c>
      <c r="T9" s="26">
        <v>1018.9</v>
      </c>
      <c r="AA9" s="26">
        <v>3771.1</v>
      </c>
      <c r="AB9" s="26">
        <v>4197.2</v>
      </c>
    </row>
    <row r="10" spans="2:38">
      <c r="B10" s="3" t="s">
        <v>51</v>
      </c>
      <c r="M10" s="27">
        <v>703.9</v>
      </c>
      <c r="N10" s="27">
        <v>1619</v>
      </c>
      <c r="O10" s="3">
        <v>730.9</v>
      </c>
      <c r="P10" s="27">
        <v>924.8</v>
      </c>
      <c r="Q10" s="3">
        <v>776.4</v>
      </c>
      <c r="R10" s="3">
        <v>1105.5</v>
      </c>
      <c r="S10" s="3">
        <v>480.2</v>
      </c>
      <c r="T10" s="27">
        <v>785.6</v>
      </c>
      <c r="AA10" s="27">
        <v>3293.5</v>
      </c>
      <c r="AB10" s="27">
        <v>3537.6</v>
      </c>
    </row>
    <row r="11" spans="2:38" s="2" customFormat="1">
      <c r="B11" s="2" t="s">
        <v>52</v>
      </c>
      <c r="M11" s="26">
        <f>M9-M10</f>
        <v>54.800000000000068</v>
      </c>
      <c r="N11" s="26">
        <f t="shared" ref="N11:T11" si="0">N9-N10</f>
        <v>222.40000000000009</v>
      </c>
      <c r="O11" s="26">
        <f t="shared" si="0"/>
        <v>76.399999999999977</v>
      </c>
      <c r="P11" s="26">
        <f t="shared" si="0"/>
        <v>205.70000000000005</v>
      </c>
      <c r="Q11" s="26">
        <f t="shared" si="0"/>
        <v>181.70000000000005</v>
      </c>
      <c r="R11" s="26">
        <f t="shared" si="0"/>
        <v>195.79999999999995</v>
      </c>
      <c r="S11" s="26">
        <f t="shared" si="0"/>
        <v>120.69999999999999</v>
      </c>
      <c r="T11" s="26">
        <f t="shared" si="0"/>
        <v>233.29999999999995</v>
      </c>
      <c r="AA11" s="26">
        <f>AA9-AA10</f>
        <v>477.59999999999991</v>
      </c>
      <c r="AB11" s="26">
        <f>AB9-AB10</f>
        <v>659.59999999999991</v>
      </c>
    </row>
    <row r="12" spans="2:38">
      <c r="B12" s="3" t="s">
        <v>54</v>
      </c>
      <c r="M12" s="27">
        <v>35</v>
      </c>
      <c r="N12" s="27">
        <v>42.1</v>
      </c>
      <c r="O12" s="3">
        <v>34.4</v>
      </c>
      <c r="P12" s="27">
        <v>40.799999999999997</v>
      </c>
      <c r="Q12" s="3">
        <v>35.700000000000003</v>
      </c>
      <c r="R12" s="3">
        <v>42.3</v>
      </c>
      <c r="S12" s="3">
        <v>39.700000000000003</v>
      </c>
      <c r="T12" s="27">
        <v>43.9</v>
      </c>
      <c r="AA12" s="27">
        <v>143.4</v>
      </c>
      <c r="AB12" s="27">
        <v>153.19999999999999</v>
      </c>
    </row>
    <row r="13" spans="2:38">
      <c r="B13" s="3" t="s">
        <v>55</v>
      </c>
      <c r="M13" s="27">
        <v>45.4</v>
      </c>
      <c r="N13" s="27">
        <v>54</v>
      </c>
      <c r="O13" s="3">
        <v>45.8</v>
      </c>
      <c r="P13" s="27">
        <v>50.2</v>
      </c>
      <c r="Q13" s="3">
        <v>59.7</v>
      </c>
      <c r="R13" s="3">
        <v>70.7</v>
      </c>
      <c r="S13" s="3">
        <v>53.8</v>
      </c>
      <c r="T13" s="27">
        <v>67.400000000000006</v>
      </c>
      <c r="AA13" s="27">
        <v>194</v>
      </c>
      <c r="AB13" s="27">
        <v>226.4</v>
      </c>
    </row>
    <row r="14" spans="2:38">
      <c r="B14" s="3" t="s">
        <v>56</v>
      </c>
      <c r="M14" s="27">
        <v>14</v>
      </c>
      <c r="N14" s="27">
        <v>-7.9</v>
      </c>
      <c r="O14" s="3">
        <v>0.1</v>
      </c>
      <c r="P14" s="27">
        <v>-2.2999999999999998</v>
      </c>
      <c r="Q14" s="3">
        <v>-1.8</v>
      </c>
      <c r="R14" s="3">
        <v>-9</v>
      </c>
      <c r="S14" s="3">
        <v>1.1000000000000001</v>
      </c>
      <c r="T14" s="27">
        <v>21.3</v>
      </c>
      <c r="AA14" s="27">
        <v>61.8</v>
      </c>
      <c r="AB14" s="27">
        <v>-13</v>
      </c>
    </row>
    <row r="15" spans="2:38">
      <c r="B15" s="3" t="s">
        <v>57</v>
      </c>
      <c r="M15" s="27">
        <v>7.1</v>
      </c>
      <c r="N15" s="27">
        <v>10.5</v>
      </c>
      <c r="O15" s="3">
        <v>8.4</v>
      </c>
      <c r="P15" s="27">
        <v>9.3000000000000007</v>
      </c>
      <c r="Q15" s="3">
        <v>10.3</v>
      </c>
      <c r="R15" s="59">
        <v>15</v>
      </c>
      <c r="S15" s="59">
        <v>17.399999999999999</v>
      </c>
      <c r="T15" s="27">
        <v>24.9</v>
      </c>
      <c r="AA15" s="27">
        <v>29.8</v>
      </c>
      <c r="AB15" s="27">
        <v>43</v>
      </c>
    </row>
    <row r="16" spans="2:38">
      <c r="B16" s="3" t="s">
        <v>58</v>
      </c>
      <c r="M16" s="27">
        <v>9.1</v>
      </c>
      <c r="N16" s="27">
        <v>-19.8</v>
      </c>
      <c r="O16" s="3">
        <v>-21.8</v>
      </c>
      <c r="P16" s="27">
        <v>35.5</v>
      </c>
      <c r="Q16" s="3">
        <v>-49.1</v>
      </c>
      <c r="R16" s="3">
        <v>-14.4</v>
      </c>
      <c r="S16" s="3">
        <v>-46.2</v>
      </c>
      <c r="T16" s="27">
        <v>-13.5</v>
      </c>
      <c r="AA16" s="27">
        <v>-374.7</v>
      </c>
      <c r="AB16" s="27">
        <v>-49.8</v>
      </c>
    </row>
    <row r="17" spans="2:28">
      <c r="B17" s="3" t="s">
        <v>59</v>
      </c>
      <c r="M17" s="27">
        <v>-0.1</v>
      </c>
      <c r="N17" s="27">
        <v>-0.3</v>
      </c>
      <c r="O17" s="3">
        <v>1</v>
      </c>
      <c r="P17" s="27">
        <v>0.6</v>
      </c>
      <c r="Q17" s="3">
        <v>1.3</v>
      </c>
      <c r="R17" s="3">
        <v>-1.8</v>
      </c>
      <c r="S17" s="27">
        <v>1.2</v>
      </c>
      <c r="T17" s="27">
        <v>4.4000000000000004</v>
      </c>
      <c r="AA17" s="27">
        <v>2.7</v>
      </c>
      <c r="AB17" s="27">
        <v>1.1000000000000001</v>
      </c>
    </row>
    <row r="18" spans="2:28" s="2" customFormat="1">
      <c r="B18" s="2" t="s">
        <v>53</v>
      </c>
      <c r="M18" s="26">
        <f>M11-M12-M13-M14-M15+M16+M17</f>
        <v>-37.699999999999932</v>
      </c>
      <c r="N18" s="26">
        <f t="shared" ref="N18:T18" si="1">N11-N12-N13-N14-N15+N16+N17</f>
        <v>103.60000000000011</v>
      </c>
      <c r="O18" s="26">
        <f t="shared" si="1"/>
        <v>-33.100000000000023</v>
      </c>
      <c r="P18" s="26">
        <f t="shared" si="1"/>
        <v>143.80000000000004</v>
      </c>
      <c r="Q18" s="26">
        <f t="shared" si="1"/>
        <v>30.000000000000053</v>
      </c>
      <c r="R18" s="26">
        <f t="shared" si="1"/>
        <v>60.599999999999945</v>
      </c>
      <c r="S18" s="26">
        <f t="shared" si="1"/>
        <v>-36.300000000000011</v>
      </c>
      <c r="T18" s="26">
        <f t="shared" si="1"/>
        <v>66.69999999999996</v>
      </c>
      <c r="AA18" s="26">
        <f t="shared" ref="AA18:AB18" si="2">AA11-AA12-AA13-AA14-AA15+AA16+AA17</f>
        <v>-323.40000000000003</v>
      </c>
      <c r="AB18" s="26">
        <f t="shared" si="2"/>
        <v>201.29999999999987</v>
      </c>
    </row>
    <row r="19" spans="2:28">
      <c r="B19" s="3" t="s">
        <v>60</v>
      </c>
      <c r="M19" s="27">
        <v>-94.6</v>
      </c>
      <c r="N19" s="27">
        <v>-64.599999999999994</v>
      </c>
      <c r="O19" s="3">
        <v>-75.400000000000006</v>
      </c>
      <c r="P19" s="27">
        <v>-65.5</v>
      </c>
      <c r="Q19" s="3">
        <v>-51.7</v>
      </c>
      <c r="R19" s="3">
        <v>-6.8</v>
      </c>
      <c r="S19" s="3">
        <v>-65.599999999999994</v>
      </c>
      <c r="T19" s="27">
        <v>-38</v>
      </c>
      <c r="AA19" s="27">
        <v>-232.7</v>
      </c>
      <c r="AB19" s="27">
        <v>-199.4</v>
      </c>
    </row>
    <row r="20" spans="2:28">
      <c r="B20" s="3" t="s">
        <v>61</v>
      </c>
      <c r="M20" s="27">
        <v>-16.3</v>
      </c>
      <c r="N20" s="27">
        <v>-27.6</v>
      </c>
      <c r="O20" s="3">
        <v>19.600000000000001</v>
      </c>
      <c r="P20" s="27">
        <v>5.3</v>
      </c>
      <c r="Q20" s="3">
        <v>-3.3</v>
      </c>
      <c r="R20" s="3">
        <v>3.9</v>
      </c>
      <c r="S20" s="3">
        <v>20.9</v>
      </c>
      <c r="T20" s="27">
        <v>20.8</v>
      </c>
      <c r="AA20" s="27">
        <v>-79.099999999999994</v>
      </c>
      <c r="AB20" s="27">
        <v>25.5</v>
      </c>
    </row>
    <row r="21" spans="2:28">
      <c r="B21" s="3" t="s">
        <v>62</v>
      </c>
      <c r="M21" s="27">
        <f>M18+M19+M20</f>
        <v>-148.59999999999994</v>
      </c>
      <c r="N21" s="27">
        <f t="shared" ref="N21:T21" si="3">N18+N19+N20</f>
        <v>11.400000000000112</v>
      </c>
      <c r="O21" s="27">
        <f t="shared" si="3"/>
        <v>-88.900000000000034</v>
      </c>
      <c r="P21" s="27">
        <f t="shared" si="3"/>
        <v>83.600000000000037</v>
      </c>
      <c r="Q21" s="27">
        <f t="shared" si="3"/>
        <v>-24.99999999999995</v>
      </c>
      <c r="R21" s="27">
        <f t="shared" si="3"/>
        <v>57.699999999999946</v>
      </c>
      <c r="S21" s="27">
        <f t="shared" si="3"/>
        <v>-81</v>
      </c>
      <c r="T21" s="27">
        <f t="shared" si="3"/>
        <v>49.499999999999957</v>
      </c>
      <c r="AA21" s="27">
        <f t="shared" ref="AA21:AB21" si="4">AA18+AA19+AA20</f>
        <v>-635.20000000000005</v>
      </c>
      <c r="AB21" s="27">
        <f t="shared" si="4"/>
        <v>27.399999999999864</v>
      </c>
    </row>
    <row r="22" spans="2:28">
      <c r="B22" s="3" t="s">
        <v>63</v>
      </c>
      <c r="M22" s="27">
        <v>-29.1</v>
      </c>
      <c r="N22" s="27">
        <v>16.899999999999999</v>
      </c>
      <c r="O22" s="3">
        <v>1.1000000000000001</v>
      </c>
      <c r="P22" s="27">
        <v>-5.6</v>
      </c>
      <c r="Q22" s="3">
        <v>20.7</v>
      </c>
      <c r="R22" s="3">
        <v>54.7</v>
      </c>
      <c r="S22" s="3">
        <v>-50.3</v>
      </c>
      <c r="T22" s="27">
        <v>-24.6</v>
      </c>
      <c r="AA22" s="27">
        <v>93.1</v>
      </c>
      <c r="AB22" s="27">
        <v>70.900000000000006</v>
      </c>
    </row>
    <row r="23" spans="2:28" s="2" customFormat="1">
      <c r="B23" s="2" t="s">
        <v>64</v>
      </c>
      <c r="M23" s="26">
        <f>M21-M22</f>
        <v>-119.49999999999994</v>
      </c>
      <c r="N23" s="26">
        <f t="shared" ref="N23:T23" si="5">N21-N22</f>
        <v>-5.4999999999998863</v>
      </c>
      <c r="O23" s="26">
        <f t="shared" si="5"/>
        <v>-90.000000000000028</v>
      </c>
      <c r="P23" s="26">
        <f t="shared" si="5"/>
        <v>89.200000000000031</v>
      </c>
      <c r="Q23" s="26">
        <f t="shared" si="5"/>
        <v>-45.699999999999946</v>
      </c>
      <c r="R23" s="26">
        <f t="shared" si="5"/>
        <v>2.9999999999999432</v>
      </c>
      <c r="S23" s="26">
        <f t="shared" si="5"/>
        <v>-30.700000000000003</v>
      </c>
      <c r="T23" s="26">
        <f t="shared" si="5"/>
        <v>74.099999999999966</v>
      </c>
      <c r="AA23" s="26">
        <f>AA21-AA22</f>
        <v>-728.30000000000007</v>
      </c>
      <c r="AB23" s="26">
        <f>AB21-AB22</f>
        <v>-43.500000000000142</v>
      </c>
    </row>
    <row r="24" spans="2:28" s="2" customFormat="1">
      <c r="B24" s="29" t="s">
        <v>72</v>
      </c>
      <c r="M24" s="26">
        <v>-121.2</v>
      </c>
      <c r="N24" s="26">
        <v>-3.3</v>
      </c>
      <c r="O24" s="2">
        <v>-89.7</v>
      </c>
      <c r="P24" s="26">
        <v>87.9</v>
      </c>
      <c r="Q24" s="2">
        <v>-45</v>
      </c>
      <c r="R24" s="2">
        <v>2.1</v>
      </c>
      <c r="S24" s="2">
        <v>-31.7</v>
      </c>
      <c r="T24" s="26">
        <v>74.2</v>
      </c>
      <c r="AA24" s="26">
        <v>-731.9</v>
      </c>
      <c r="AB24" s="26">
        <v>-44.7</v>
      </c>
    </row>
    <row r="25" spans="2:28">
      <c r="B25" s="30" t="s">
        <v>73</v>
      </c>
      <c r="M25" s="27">
        <v>1.7</v>
      </c>
      <c r="N25" s="27">
        <v>-2.2000000000000002</v>
      </c>
      <c r="O25" s="3">
        <v>-0.3</v>
      </c>
      <c r="P25" s="27">
        <v>1.3</v>
      </c>
      <c r="Q25" s="3">
        <v>-0.7</v>
      </c>
      <c r="R25" s="3">
        <v>0.9</v>
      </c>
      <c r="S25" s="27">
        <v>1</v>
      </c>
      <c r="T25" s="27">
        <v>-0.1</v>
      </c>
      <c r="AA25" s="27">
        <v>3.6</v>
      </c>
      <c r="AB25" s="27">
        <v>1.2</v>
      </c>
    </row>
    <row r="26" spans="2:28">
      <c r="B26" s="3" t="s">
        <v>65</v>
      </c>
      <c r="M26" s="28">
        <f>M24/M27</f>
        <v>-0.16462917685411571</v>
      </c>
      <c r="N26" s="28">
        <f t="shared" ref="N26:T26" si="6">N24/N27</f>
        <v>-4.4824775876120618E-3</v>
      </c>
      <c r="O26" s="28">
        <f t="shared" si="6"/>
        <v>-0.12204081632653062</v>
      </c>
      <c r="P26" s="28">
        <f t="shared" si="6"/>
        <v>0.11962438758845946</v>
      </c>
      <c r="Q26" s="28">
        <f t="shared" si="6"/>
        <v>-6.1241154055525319E-2</v>
      </c>
      <c r="R26" s="28">
        <f t="shared" si="6"/>
        <v>2.8583095140873828E-3</v>
      </c>
      <c r="S26" s="28">
        <f t="shared" si="6"/>
        <v>-4.3152736182956709E-2</v>
      </c>
      <c r="T26" s="28">
        <f t="shared" si="6"/>
        <v>0.10100735093928669</v>
      </c>
      <c r="AA26" s="28">
        <f t="shared" ref="AA26:AB26" si="7">AA24/AA27</f>
        <v>-0.99415919587068724</v>
      </c>
      <c r="AB26" s="28">
        <f t="shared" si="7"/>
        <v>-6.0841159657002861E-2</v>
      </c>
    </row>
    <row r="27" spans="2:28">
      <c r="B27" s="3" t="s">
        <v>4</v>
      </c>
      <c r="M27" s="3">
        <v>736.2</v>
      </c>
      <c r="N27" s="3">
        <v>736.2</v>
      </c>
      <c r="O27" s="27">
        <v>735</v>
      </c>
      <c r="P27" s="27">
        <v>734.8</v>
      </c>
      <c r="Q27" s="3">
        <v>734.8</v>
      </c>
      <c r="R27" s="3">
        <v>734.7</v>
      </c>
      <c r="S27" s="3">
        <v>734.6</v>
      </c>
      <c r="T27" s="3">
        <v>734.6</v>
      </c>
      <c r="AA27" s="3">
        <v>736.2</v>
      </c>
      <c r="AB27" s="3">
        <v>734.7</v>
      </c>
    </row>
    <row r="30" spans="2:28" s="2" customFormat="1">
      <c r="B30" s="2" t="s">
        <v>66</v>
      </c>
      <c r="Q30" s="34">
        <f>Q9/M9-1</f>
        <v>0.26281797812046914</v>
      </c>
      <c r="R30" s="34">
        <f>R9/N9-1</f>
        <v>-0.29330943847072888</v>
      </c>
      <c r="S30" s="34">
        <f>S9/O9-1</f>
        <v>-0.25566703827573389</v>
      </c>
      <c r="T30" s="34">
        <f>T9/P9-1</f>
        <v>-9.8717381689517936E-2</v>
      </c>
      <c r="AB30" s="34">
        <f>AB9/AA9-1</f>
        <v>0.11299090451062033</v>
      </c>
    </row>
    <row r="31" spans="2:28" s="25" customFormat="1">
      <c r="B31" s="25" t="s">
        <v>67</v>
      </c>
      <c r="N31" s="25">
        <f t="shared" ref="N31:P31" si="8">N9/M9-1</f>
        <v>1.4270462633451957</v>
      </c>
      <c r="O31" s="25">
        <f t="shared" si="8"/>
        <v>-0.56158357771261003</v>
      </c>
      <c r="P31" s="25">
        <f>P9/O9-1</f>
        <v>0.40034683512944391</v>
      </c>
      <c r="Q31" s="25">
        <f t="shared" ref="Q31:R31" si="9">Q9/P9-1</f>
        <v>-0.15249889429455987</v>
      </c>
      <c r="R31" s="25">
        <f t="shared" si="9"/>
        <v>0.35820895522388052</v>
      </c>
      <c r="S31" s="25">
        <f>S9/R9-1</f>
        <v>-0.53823099976946132</v>
      </c>
      <c r="T31" s="25">
        <f>T9/S9-1</f>
        <v>0.69562323181893837</v>
      </c>
    </row>
    <row r="34" spans="2:28">
      <c r="B34" s="3" t="s">
        <v>68</v>
      </c>
      <c r="M34" s="25">
        <f>M11/M9</f>
        <v>7.2228812442335658E-2</v>
      </c>
      <c r="N34" s="25">
        <f t="shared" ref="N34:O34" si="10">N11/N9</f>
        <v>0.12077766916476598</v>
      </c>
      <c r="O34" s="25">
        <f>O11/O9</f>
        <v>9.4636442462529391E-2</v>
      </c>
      <c r="P34" s="25">
        <f>P11/P9</f>
        <v>0.18195488721804515</v>
      </c>
      <c r="Q34" s="25">
        <f t="shared" ref="Q34:R34" si="11">Q11/Q9</f>
        <v>0.18964617472080164</v>
      </c>
      <c r="R34" s="25">
        <f t="shared" si="11"/>
        <v>0.1504649196956889</v>
      </c>
      <c r="S34" s="25">
        <f t="shared" ref="S34" si="12">S11/S9</f>
        <v>0.20086536861374604</v>
      </c>
      <c r="T34" s="25">
        <f>T11/T9</f>
        <v>0.2289724212385906</v>
      </c>
      <c r="AA34" s="25">
        <f>AA11/AA9</f>
        <v>0.12664739731112937</v>
      </c>
      <c r="AB34" s="25">
        <f>AB11/AB9</f>
        <v>0.15715238730582293</v>
      </c>
    </row>
    <row r="35" spans="2:28">
      <c r="B35" s="3" t="s">
        <v>69</v>
      </c>
      <c r="M35" s="25">
        <f>M18/M9</f>
        <v>-4.9690259654672372E-2</v>
      </c>
      <c r="N35" s="25">
        <f t="shared" ref="N35:O35" si="13">N18/N9</f>
        <v>5.6261540132507927E-2</v>
      </c>
      <c r="O35" s="25">
        <f>O18/O9</f>
        <v>-4.1000867087823641E-2</v>
      </c>
      <c r="P35" s="25">
        <f>P18/P9</f>
        <v>0.12720035382574085</v>
      </c>
      <c r="Q35" s="25">
        <f t="shared" ref="Q35:R35" si="14">Q18/Q9</f>
        <v>3.1311971610479127E-2</v>
      </c>
      <c r="R35" s="25">
        <f t="shared" si="14"/>
        <v>4.6568815799584988E-2</v>
      </c>
      <c r="S35" s="25">
        <f t="shared" ref="S35" si="15">S18/S9</f>
        <v>-6.0409385921118344E-2</v>
      </c>
      <c r="T35" s="25">
        <f>T18/T9</f>
        <v>6.5462753950338556E-2</v>
      </c>
      <c r="AA35" s="25">
        <f>AA18/AA9</f>
        <v>-8.5757471294847662E-2</v>
      </c>
      <c r="AB35" s="25">
        <f>AB18/AB9</f>
        <v>4.7960545125321614E-2</v>
      </c>
    </row>
    <row r="36" spans="2:28">
      <c r="B36" s="3" t="s">
        <v>70</v>
      </c>
      <c r="M36" s="25">
        <f>M23/M9</f>
        <v>-0.15750626070910759</v>
      </c>
      <c r="N36" s="25">
        <f t="shared" ref="N36:O36" si="16">N23/N9</f>
        <v>-2.9868578255674411E-3</v>
      </c>
      <c r="O36" s="25">
        <f>O23/O9</f>
        <v>-0.11148272017837239</v>
      </c>
      <c r="P36" s="25">
        <f>P23/P9</f>
        <v>7.8903140203449823E-2</v>
      </c>
      <c r="Q36" s="25">
        <f t="shared" ref="Q36:R36" si="17">Q23/Q9</f>
        <v>-4.7698570086629734E-2</v>
      </c>
      <c r="R36" s="25">
        <f t="shared" si="17"/>
        <v>2.3053869207714925E-3</v>
      </c>
      <c r="S36" s="25">
        <f t="shared" ref="S36" si="18">S23/S9</f>
        <v>-5.1090031619237815E-2</v>
      </c>
      <c r="T36" s="25">
        <f>T23/T9</f>
        <v>7.2725488271665487E-2</v>
      </c>
      <c r="AA36" s="25">
        <f>AA23/AA9</f>
        <v>-0.1931266739147729</v>
      </c>
      <c r="AB36" s="25">
        <f>AB23/AB9</f>
        <v>-1.0364052225293087E-2</v>
      </c>
    </row>
    <row r="37" spans="2:28">
      <c r="B37" s="3" t="s">
        <v>71</v>
      </c>
      <c r="M37" s="25">
        <f>M22/M21</f>
        <v>0.19582772543741597</v>
      </c>
      <c r="N37" s="25">
        <f t="shared" ref="N37:O37" si="19">N22/N21</f>
        <v>1.4824561403508625</v>
      </c>
      <c r="O37" s="25">
        <f>O22/O21</f>
        <v>-1.2373453318335205E-2</v>
      </c>
      <c r="P37" s="25">
        <f>P22/P21</f>
        <v>-6.6985645933014315E-2</v>
      </c>
      <c r="Q37" s="25">
        <f t="shared" ref="Q37:R37" si="20">Q22/Q21</f>
        <v>-0.82800000000000162</v>
      </c>
      <c r="R37" s="25">
        <f t="shared" si="20"/>
        <v>0.94800693240901301</v>
      </c>
      <c r="S37" s="25">
        <f t="shared" ref="S37" si="21">S22/S21</f>
        <v>0.62098765432098757</v>
      </c>
      <c r="T37" s="25">
        <f>T22/T21</f>
        <v>-0.49696969696969745</v>
      </c>
      <c r="AA37" s="25">
        <f>AA22/AA21</f>
        <v>-0.14656801007556672</v>
      </c>
      <c r="AB37" s="25">
        <f>AB22/AB21</f>
        <v>2.5875912408759256</v>
      </c>
    </row>
    <row r="40" spans="2:28">
      <c r="B40" s="33" t="s">
        <v>82</v>
      </c>
    </row>
    <row r="41" spans="2:28" s="2" customFormat="1">
      <c r="B41" s="29" t="s">
        <v>83</v>
      </c>
      <c r="N41" s="2">
        <f>O42+O48</f>
        <v>0</v>
      </c>
      <c r="P41" s="2">
        <f t="shared" ref="O41:S41" si="22">P42+P48</f>
        <v>34</v>
      </c>
      <c r="Q41" s="2">
        <f t="shared" si="22"/>
        <v>30</v>
      </c>
      <c r="R41" s="2">
        <f t="shared" si="22"/>
        <v>55</v>
      </c>
      <c r="S41" s="2">
        <f t="shared" si="22"/>
        <v>26</v>
      </c>
      <c r="T41" s="2">
        <f>T42+T48</f>
        <v>32</v>
      </c>
      <c r="AA41" s="2">
        <f>AA42+AA48</f>
        <v>129</v>
      </c>
      <c r="AB41" s="2">
        <f>AB42+AB48</f>
        <v>141</v>
      </c>
    </row>
    <row r="42" spans="2:28" s="40" customFormat="1">
      <c r="B42" s="49" t="s">
        <v>84</v>
      </c>
      <c r="N42" s="40">
        <f>N43+N45+N46</f>
        <v>28</v>
      </c>
      <c r="P42" s="40">
        <f>P43+P45+P46</f>
        <v>14</v>
      </c>
      <c r="Q42" s="40">
        <f>Q43+Q45+Q46</f>
        <v>9</v>
      </c>
      <c r="R42" s="40">
        <f>R43+R45+R46</f>
        <v>16</v>
      </c>
      <c r="S42" s="40">
        <f t="shared" ref="S42:T42" si="23">S43+S45+S46</f>
        <v>6</v>
      </c>
      <c r="T42" s="40">
        <f t="shared" si="23"/>
        <v>11</v>
      </c>
      <c r="AA42" s="40">
        <f t="shared" ref="AA42:AB42" si="24">AA43+AA45+AA46</f>
        <v>43</v>
      </c>
      <c r="AB42" s="40">
        <f t="shared" si="24"/>
        <v>48</v>
      </c>
    </row>
    <row r="43" spans="2:28" s="39" customFormat="1">
      <c r="B43" s="48" t="s">
        <v>85</v>
      </c>
      <c r="N43" s="39">
        <v>21</v>
      </c>
      <c r="P43" s="39">
        <v>7</v>
      </c>
      <c r="Q43" s="39">
        <v>6</v>
      </c>
      <c r="R43" s="39">
        <v>12</v>
      </c>
      <c r="S43" s="39">
        <v>4</v>
      </c>
      <c r="T43" s="39">
        <v>8</v>
      </c>
      <c r="AA43" s="39">
        <v>32</v>
      </c>
      <c r="AB43" s="39">
        <v>27</v>
      </c>
    </row>
    <row r="44" spans="2:28" s="39" customFormat="1">
      <c r="B44" s="48" t="s">
        <v>190</v>
      </c>
      <c r="AA44" s="39">
        <v>1</v>
      </c>
      <c r="AB44" s="39">
        <v>0</v>
      </c>
    </row>
    <row r="45" spans="2:28" s="39" customFormat="1">
      <c r="B45" s="48" t="s">
        <v>183</v>
      </c>
      <c r="N45" s="39">
        <v>1</v>
      </c>
      <c r="P45" s="39">
        <v>0</v>
      </c>
      <c r="Q45" s="39">
        <v>0</v>
      </c>
      <c r="R45" s="39">
        <v>0</v>
      </c>
      <c r="S45" s="39">
        <v>0</v>
      </c>
      <c r="T45" s="39">
        <v>0</v>
      </c>
      <c r="AA45" s="39">
        <v>4</v>
      </c>
      <c r="AB45" s="39">
        <v>2</v>
      </c>
    </row>
    <row r="46" spans="2:28" s="39" customFormat="1">
      <c r="B46" s="48" t="s">
        <v>86</v>
      </c>
      <c r="N46" s="39">
        <v>6</v>
      </c>
      <c r="P46" s="39">
        <v>7</v>
      </c>
      <c r="Q46" s="39">
        <v>3</v>
      </c>
      <c r="R46" s="39">
        <v>4</v>
      </c>
      <c r="S46" s="39">
        <v>2</v>
      </c>
      <c r="T46" s="39">
        <v>3</v>
      </c>
      <c r="AA46" s="39">
        <v>7</v>
      </c>
      <c r="AB46" s="39">
        <v>19</v>
      </c>
    </row>
    <row r="47" spans="2:28" s="39" customFormat="1">
      <c r="B47" s="48"/>
    </row>
    <row r="48" spans="2:28" s="40" customFormat="1">
      <c r="B48" s="49" t="s">
        <v>87</v>
      </c>
      <c r="N48" s="40">
        <f>N49+N50+N51</f>
        <v>43</v>
      </c>
      <c r="P48" s="40">
        <f>P49+P50+P51</f>
        <v>20</v>
      </c>
      <c r="Q48" s="40">
        <f>Q49+Q50+Q51</f>
        <v>21</v>
      </c>
      <c r="R48" s="40">
        <f>R49+R50+R51</f>
        <v>39</v>
      </c>
      <c r="S48" s="40">
        <f>S49+S50+S51</f>
        <v>20</v>
      </c>
      <c r="T48" s="40">
        <f>T49+T50+T51</f>
        <v>21</v>
      </c>
      <c r="AA48" s="40">
        <f>AA49+AA50+AA51</f>
        <v>86</v>
      </c>
      <c r="AB48" s="40">
        <f>AB49+AB50+AB51</f>
        <v>93</v>
      </c>
    </row>
    <row r="49" spans="2:28" s="39" customFormat="1">
      <c r="B49" s="48" t="s">
        <v>88</v>
      </c>
      <c r="N49" s="39">
        <v>23</v>
      </c>
      <c r="P49" s="39">
        <v>12</v>
      </c>
      <c r="Q49" s="39">
        <v>14</v>
      </c>
      <c r="R49" s="39">
        <v>26</v>
      </c>
      <c r="S49" s="39">
        <v>12</v>
      </c>
      <c r="T49" s="39">
        <v>12</v>
      </c>
      <c r="AA49" s="39">
        <v>56</v>
      </c>
      <c r="AB49" s="39">
        <v>62</v>
      </c>
    </row>
    <row r="50" spans="2:28" s="39" customFormat="1">
      <c r="B50" s="48" t="s">
        <v>89</v>
      </c>
      <c r="N50" s="39">
        <v>20</v>
      </c>
      <c r="P50" s="39">
        <v>8</v>
      </c>
      <c r="Q50" s="39">
        <v>0</v>
      </c>
      <c r="R50" s="39">
        <v>13</v>
      </c>
      <c r="S50" s="39">
        <v>8</v>
      </c>
      <c r="T50" s="39">
        <v>9</v>
      </c>
      <c r="AA50" s="39">
        <v>30</v>
      </c>
      <c r="AB50" s="39">
        <v>31</v>
      </c>
    </row>
    <row r="51" spans="2:28" s="39" customFormat="1">
      <c r="B51" s="48" t="s">
        <v>184</v>
      </c>
      <c r="N51" s="39">
        <v>0</v>
      </c>
      <c r="P51" s="39">
        <v>0</v>
      </c>
      <c r="Q51" s="39">
        <v>7</v>
      </c>
      <c r="R51" s="39">
        <v>0</v>
      </c>
      <c r="S51" s="39">
        <v>0</v>
      </c>
      <c r="T51" s="39">
        <v>0</v>
      </c>
      <c r="AA51" s="39">
        <v>0</v>
      </c>
      <c r="AB51" s="39">
        <v>0</v>
      </c>
    </row>
    <row r="53" spans="2:28">
      <c r="B53" s="33" t="s">
        <v>74</v>
      </c>
    </row>
    <row r="54" spans="2:28" s="2" customFormat="1">
      <c r="B54" s="2" t="s">
        <v>6</v>
      </c>
      <c r="N54" s="26">
        <v>1883.1</v>
      </c>
      <c r="P54" s="26">
        <v>1351.2</v>
      </c>
      <c r="Q54" s="26">
        <v>1596.8</v>
      </c>
      <c r="R54" s="26">
        <v>1818.3</v>
      </c>
      <c r="S54" s="26">
        <v>1129.8</v>
      </c>
      <c r="T54" s="26">
        <v>1041.3</v>
      </c>
      <c r="AA54" s="26">
        <f>N54</f>
        <v>1883.1</v>
      </c>
      <c r="AB54" s="26">
        <f>R54</f>
        <v>1818.3</v>
      </c>
    </row>
    <row r="55" spans="2:28" s="2" customFormat="1">
      <c r="B55" s="2" t="s">
        <v>90</v>
      </c>
      <c r="N55" s="26">
        <v>817.5</v>
      </c>
      <c r="P55" s="26">
        <v>1092.8</v>
      </c>
      <c r="Q55" s="26">
        <v>855.3</v>
      </c>
      <c r="R55" s="26">
        <v>750.8</v>
      </c>
      <c r="S55" s="26">
        <v>802.9</v>
      </c>
      <c r="T55" s="26">
        <v>753.8</v>
      </c>
      <c r="AA55" s="26">
        <f>N55</f>
        <v>817.5</v>
      </c>
      <c r="AB55" s="26">
        <f>R55</f>
        <v>750.8</v>
      </c>
    </row>
    <row r="56" spans="2:28">
      <c r="B56" s="3" t="s">
        <v>91</v>
      </c>
      <c r="N56" s="27">
        <v>203.4</v>
      </c>
      <c r="P56" s="27">
        <v>198.8</v>
      </c>
      <c r="Q56" s="27">
        <v>203.1</v>
      </c>
      <c r="R56" s="27">
        <v>189</v>
      </c>
      <c r="S56" s="27">
        <v>197</v>
      </c>
      <c r="T56" s="27">
        <v>240.4</v>
      </c>
      <c r="AA56" s="27">
        <f t="shared" ref="AA56:AA59" si="25">N56</f>
        <v>203.4</v>
      </c>
      <c r="AB56" s="27">
        <f>R56</f>
        <v>189</v>
      </c>
    </row>
    <row r="57" spans="2:28">
      <c r="B57" s="3" t="s">
        <v>92</v>
      </c>
      <c r="N57" s="27">
        <v>8.3000000000000007</v>
      </c>
      <c r="P57" s="27">
        <v>4.3</v>
      </c>
      <c r="Q57" s="27">
        <v>0.5</v>
      </c>
      <c r="R57" s="27">
        <v>0.1</v>
      </c>
      <c r="S57" s="27">
        <v>9.6999999999999993</v>
      </c>
      <c r="T57" s="27">
        <v>2.5</v>
      </c>
      <c r="AA57" s="27">
        <f t="shared" si="25"/>
        <v>8.3000000000000007</v>
      </c>
      <c r="AB57" s="27">
        <f t="shared" ref="AB57:AB77" si="26">R57</f>
        <v>0.1</v>
      </c>
    </row>
    <row r="58" spans="2:28">
      <c r="B58" s="3" t="s">
        <v>93</v>
      </c>
      <c r="N58" s="27">
        <v>8.5</v>
      </c>
      <c r="P58" s="27">
        <v>7.4</v>
      </c>
      <c r="Q58" s="27">
        <v>7.9</v>
      </c>
      <c r="R58" s="27">
        <v>9.6</v>
      </c>
      <c r="S58" s="27">
        <v>9.8000000000000007</v>
      </c>
      <c r="T58" s="27">
        <v>5.8</v>
      </c>
      <c r="AA58" s="27">
        <f t="shared" si="25"/>
        <v>8.5</v>
      </c>
      <c r="AB58" s="27">
        <f t="shared" si="26"/>
        <v>9.6</v>
      </c>
    </row>
    <row r="59" spans="2:28">
      <c r="B59" s="3" t="s">
        <v>94</v>
      </c>
      <c r="N59" s="27">
        <v>461.8</v>
      </c>
      <c r="P59" s="27">
        <v>630.70000000000005</v>
      </c>
      <c r="Q59" s="27">
        <v>618.79999999999995</v>
      </c>
      <c r="R59" s="27">
        <v>582.29999999999995</v>
      </c>
      <c r="S59" s="27">
        <v>615.5</v>
      </c>
      <c r="T59" s="27">
        <v>620</v>
      </c>
      <c r="AA59" s="27">
        <f t="shared" si="25"/>
        <v>461.8</v>
      </c>
      <c r="AB59" s="27">
        <f t="shared" si="26"/>
        <v>582.29999999999995</v>
      </c>
    </row>
    <row r="60" spans="2:28" s="2" customFormat="1">
      <c r="B60" s="2" t="s">
        <v>95</v>
      </c>
      <c r="N60" s="26">
        <v>2437.9</v>
      </c>
      <c r="P60" s="26">
        <v>2315</v>
      </c>
      <c r="Q60" s="26">
        <v>2305</v>
      </c>
      <c r="R60" s="26">
        <v>1986</v>
      </c>
      <c r="S60" s="26">
        <v>2222.8000000000002</v>
      </c>
      <c r="T60" s="26">
        <v>2392.9</v>
      </c>
      <c r="AA60" s="26">
        <f>N60</f>
        <v>2437.9</v>
      </c>
      <c r="AB60" s="26">
        <f>R60</f>
        <v>1986</v>
      </c>
    </row>
    <row r="61" spans="2:28">
      <c r="B61" s="3" t="s">
        <v>63</v>
      </c>
      <c r="N61" s="27">
        <v>114.1</v>
      </c>
      <c r="P61" s="27">
        <v>134.69999999999999</v>
      </c>
      <c r="Q61" s="27">
        <v>128.19999999999999</v>
      </c>
      <c r="R61" s="27">
        <v>114.5</v>
      </c>
      <c r="S61" s="27">
        <v>105</v>
      </c>
      <c r="T61" s="27">
        <v>101.9</v>
      </c>
      <c r="AA61" s="27">
        <f t="shared" ref="AA61:AA64" si="27">N61</f>
        <v>114.1</v>
      </c>
      <c r="AB61" s="27">
        <f t="shared" si="26"/>
        <v>114.5</v>
      </c>
    </row>
    <row r="62" spans="2:28">
      <c r="B62" s="3" t="s">
        <v>185</v>
      </c>
      <c r="N62" s="27">
        <v>0.2</v>
      </c>
      <c r="P62" s="27">
        <v>0.2</v>
      </c>
      <c r="Q62" s="27">
        <v>101.9</v>
      </c>
      <c r="R62" s="3">
        <v>0.6</v>
      </c>
      <c r="S62" s="27">
        <v>0</v>
      </c>
      <c r="T62" s="27">
        <v>0</v>
      </c>
      <c r="AA62" s="27">
        <f t="shared" si="27"/>
        <v>0.2</v>
      </c>
      <c r="AB62" s="27">
        <f t="shared" si="26"/>
        <v>0.6</v>
      </c>
    </row>
    <row r="63" spans="2:28">
      <c r="B63" s="3" t="s">
        <v>96</v>
      </c>
      <c r="N63" s="27">
        <v>180.9</v>
      </c>
      <c r="P63" s="27">
        <v>194.2</v>
      </c>
      <c r="Q63" s="27">
        <v>202.3</v>
      </c>
      <c r="R63" s="3">
        <v>193.7</v>
      </c>
      <c r="S63" s="27">
        <v>217</v>
      </c>
      <c r="T63" s="27">
        <v>209.3</v>
      </c>
      <c r="AA63" s="27">
        <f t="shared" si="27"/>
        <v>180.9</v>
      </c>
      <c r="AB63" s="27">
        <f t="shared" si="26"/>
        <v>193.7</v>
      </c>
    </row>
    <row r="64" spans="2:28">
      <c r="B64" s="3" t="s">
        <v>97</v>
      </c>
      <c r="N64" s="27">
        <v>0</v>
      </c>
      <c r="P64" s="27">
        <v>0</v>
      </c>
      <c r="Q64" s="27">
        <v>0</v>
      </c>
      <c r="R64" s="3">
        <v>230.9</v>
      </c>
      <c r="S64" s="27">
        <v>227.1</v>
      </c>
      <c r="T64" s="27">
        <v>0</v>
      </c>
      <c r="AA64" s="27">
        <f t="shared" si="27"/>
        <v>0</v>
      </c>
      <c r="AB64" s="27">
        <f t="shared" si="26"/>
        <v>230.9</v>
      </c>
    </row>
    <row r="65" spans="2:28">
      <c r="B65" s="3" t="s">
        <v>104</v>
      </c>
      <c r="N65" s="27">
        <f>SUM(N54:N64)</f>
        <v>6115.7</v>
      </c>
      <c r="P65" s="27">
        <f>SUM(P54:P64)</f>
        <v>5929.3</v>
      </c>
      <c r="Q65" s="27">
        <f>SUM(Q54:Q64)</f>
        <v>6019.7999999999993</v>
      </c>
      <c r="R65" s="27">
        <f>SUM(R54:R64)</f>
        <v>5875.7999999999993</v>
      </c>
      <c r="S65" s="27">
        <f>SUM(S54:S64)</f>
        <v>5536.6</v>
      </c>
      <c r="T65" s="27">
        <f>SUM(T54:T64)</f>
        <v>5367.9000000000005</v>
      </c>
      <c r="AA65" s="27">
        <f>SUM(AA54:AA64)</f>
        <v>6115.7</v>
      </c>
      <c r="AB65" s="27">
        <f>SUM(AB54:AB64)</f>
        <v>5875.7999999999993</v>
      </c>
    </row>
    <row r="66" spans="2:28" s="2" customFormat="1">
      <c r="B66" s="2" t="s">
        <v>90</v>
      </c>
      <c r="N66" s="26">
        <v>51.7</v>
      </c>
      <c r="P66" s="26">
        <v>47.3</v>
      </c>
      <c r="Q66" s="26">
        <v>51.6</v>
      </c>
      <c r="R66" s="26">
        <v>65.599999999999994</v>
      </c>
      <c r="S66" s="26">
        <v>169.9</v>
      </c>
      <c r="T66" s="26">
        <v>169.9</v>
      </c>
      <c r="AA66" s="26">
        <f>N66</f>
        <v>51.7</v>
      </c>
      <c r="AB66" s="26">
        <f>R66</f>
        <v>65.599999999999994</v>
      </c>
    </row>
    <row r="67" spans="2:28">
      <c r="B67" s="3" t="s">
        <v>94</v>
      </c>
      <c r="N67" s="27">
        <v>0</v>
      </c>
      <c r="P67" s="27">
        <v>0.1</v>
      </c>
      <c r="Q67" s="27">
        <v>0</v>
      </c>
      <c r="R67" s="27">
        <v>0</v>
      </c>
      <c r="S67" s="27">
        <v>1.6</v>
      </c>
      <c r="T67" s="27">
        <v>1.5</v>
      </c>
      <c r="AA67" s="27">
        <f t="shared" ref="AA67:AA77" si="28">N67</f>
        <v>0</v>
      </c>
      <c r="AB67" s="27">
        <f t="shared" si="26"/>
        <v>0</v>
      </c>
    </row>
    <row r="68" spans="2:28" s="2" customFormat="1">
      <c r="B68" s="2" t="s">
        <v>92</v>
      </c>
      <c r="N68" s="26">
        <v>1.3</v>
      </c>
      <c r="P68" s="26">
        <v>23</v>
      </c>
      <c r="Q68" s="26">
        <v>0</v>
      </c>
      <c r="R68" s="26">
        <v>0</v>
      </c>
      <c r="S68" s="26">
        <v>1.6</v>
      </c>
      <c r="T68" s="26">
        <v>3.2</v>
      </c>
      <c r="AA68" s="26">
        <f>N68</f>
        <v>1.3</v>
      </c>
      <c r="AB68" s="26">
        <f>R68</f>
        <v>0</v>
      </c>
    </row>
    <row r="69" spans="2:28">
      <c r="B69" s="3" t="s">
        <v>185</v>
      </c>
      <c r="N69" s="27">
        <v>1.5</v>
      </c>
      <c r="P69" s="27"/>
      <c r="Q69" s="27">
        <v>2.4</v>
      </c>
      <c r="R69" s="27">
        <v>2.4</v>
      </c>
      <c r="S69" s="27"/>
      <c r="T69" s="27"/>
      <c r="AA69" s="27">
        <f t="shared" si="28"/>
        <v>1.5</v>
      </c>
      <c r="AB69" s="27">
        <f t="shared" si="26"/>
        <v>2.4</v>
      </c>
    </row>
    <row r="70" spans="2:28">
      <c r="B70" s="3" t="s">
        <v>93</v>
      </c>
      <c r="N70" s="27">
        <v>21.4</v>
      </c>
      <c r="P70" s="27">
        <v>42.1</v>
      </c>
      <c r="Q70" s="27">
        <v>25.4</v>
      </c>
      <c r="R70" s="27">
        <v>22.4</v>
      </c>
      <c r="S70" s="27">
        <v>23.4</v>
      </c>
      <c r="T70" s="27">
        <v>14.5</v>
      </c>
      <c r="AA70" s="27">
        <f t="shared" si="28"/>
        <v>21.4</v>
      </c>
      <c r="AB70" s="27">
        <f t="shared" si="26"/>
        <v>22.4</v>
      </c>
    </row>
    <row r="71" spans="2:28">
      <c r="B71" s="3" t="s">
        <v>91</v>
      </c>
      <c r="N71" s="27">
        <v>0</v>
      </c>
      <c r="P71" s="27">
        <v>0</v>
      </c>
      <c r="Q71" s="27">
        <v>0</v>
      </c>
      <c r="R71" s="27">
        <v>0</v>
      </c>
      <c r="S71" s="27">
        <v>0</v>
      </c>
      <c r="T71" s="27">
        <v>0.9</v>
      </c>
      <c r="AA71" s="27">
        <f t="shared" si="28"/>
        <v>0</v>
      </c>
      <c r="AB71" s="27">
        <f t="shared" si="26"/>
        <v>0</v>
      </c>
    </row>
    <row r="72" spans="2:28">
      <c r="B72" s="3" t="s">
        <v>99</v>
      </c>
      <c r="N72" s="27">
        <v>104.6</v>
      </c>
      <c r="P72" s="27">
        <v>99.9</v>
      </c>
      <c r="Q72" s="27">
        <v>77</v>
      </c>
      <c r="R72" s="27">
        <v>97.6</v>
      </c>
      <c r="S72" s="27">
        <v>22.8</v>
      </c>
      <c r="T72" s="27">
        <v>23.3</v>
      </c>
      <c r="AA72" s="27">
        <f t="shared" si="28"/>
        <v>104.6</v>
      </c>
      <c r="AB72" s="27">
        <f t="shared" si="26"/>
        <v>97.6</v>
      </c>
    </row>
    <row r="73" spans="2:28">
      <c r="B73" s="3" t="s">
        <v>96</v>
      </c>
      <c r="N73" s="27">
        <v>120.7</v>
      </c>
      <c r="P73" s="27">
        <v>126.9</v>
      </c>
      <c r="Q73" s="27">
        <v>121.2</v>
      </c>
      <c r="R73" s="27">
        <v>125.6</v>
      </c>
      <c r="S73" s="27">
        <v>142.9</v>
      </c>
      <c r="T73" s="27">
        <v>165</v>
      </c>
      <c r="AA73" s="27">
        <f t="shared" si="28"/>
        <v>120.7</v>
      </c>
      <c r="AB73" s="27">
        <f t="shared" si="26"/>
        <v>125.6</v>
      </c>
    </row>
    <row r="74" spans="2:28">
      <c r="B74" s="3" t="s">
        <v>100</v>
      </c>
      <c r="N74" s="27">
        <v>5.2</v>
      </c>
      <c r="P74" s="27">
        <v>6.1</v>
      </c>
      <c r="Q74" s="27">
        <v>6.6</v>
      </c>
      <c r="R74" s="27">
        <v>4.4000000000000004</v>
      </c>
      <c r="S74" s="27">
        <v>6.9</v>
      </c>
      <c r="T74" s="27">
        <v>9.3000000000000007</v>
      </c>
      <c r="AA74" s="27">
        <f t="shared" si="28"/>
        <v>5.2</v>
      </c>
      <c r="AB74" s="27">
        <f t="shared" si="26"/>
        <v>4.4000000000000004</v>
      </c>
    </row>
    <row r="75" spans="2:28">
      <c r="B75" s="3" t="s">
        <v>101</v>
      </c>
      <c r="N75" s="27">
        <v>1956</v>
      </c>
      <c r="P75" s="27">
        <v>1913.1</v>
      </c>
      <c r="Q75" s="27">
        <v>1902</v>
      </c>
      <c r="R75" s="27">
        <v>1687.6</v>
      </c>
      <c r="S75" s="27">
        <v>1679.3</v>
      </c>
      <c r="T75" s="27">
        <v>1652.5</v>
      </c>
      <c r="AA75" s="27">
        <f t="shared" si="28"/>
        <v>1956</v>
      </c>
      <c r="AB75" s="27">
        <f t="shared" si="26"/>
        <v>1687.6</v>
      </c>
    </row>
    <row r="76" spans="2:28">
      <c r="B76" s="3" t="s">
        <v>102</v>
      </c>
      <c r="N76" s="27">
        <v>2075.6</v>
      </c>
      <c r="P76" s="27">
        <v>2097.6999999999998</v>
      </c>
      <c r="Q76" s="27">
        <v>2115.9</v>
      </c>
      <c r="R76" s="27">
        <v>2213.4</v>
      </c>
      <c r="S76" s="27">
        <v>2227.5</v>
      </c>
      <c r="T76" s="27">
        <v>2231.3000000000002</v>
      </c>
      <c r="AA76" s="27">
        <f t="shared" si="28"/>
        <v>2075.6</v>
      </c>
      <c r="AB76" s="27">
        <f t="shared" si="26"/>
        <v>2213.4</v>
      </c>
    </row>
    <row r="77" spans="2:28">
      <c r="B77" s="3" t="s">
        <v>103</v>
      </c>
      <c r="N77" s="27">
        <v>62.3</v>
      </c>
      <c r="P77" s="27">
        <v>55.8</v>
      </c>
      <c r="Q77" s="27">
        <v>60.8</v>
      </c>
      <c r="R77" s="27">
        <v>60.2</v>
      </c>
      <c r="S77" s="27">
        <v>55.9</v>
      </c>
      <c r="T77" s="27">
        <v>59.5</v>
      </c>
      <c r="AA77" s="27">
        <f>N77</f>
        <v>62.3</v>
      </c>
      <c r="AB77" s="27">
        <f t="shared" si="26"/>
        <v>60.2</v>
      </c>
    </row>
    <row r="78" spans="2:28">
      <c r="B78" s="3" t="s">
        <v>98</v>
      </c>
      <c r="N78" s="27">
        <f>SUM(N66:N77)+N65</f>
        <v>10516</v>
      </c>
      <c r="P78" s="27">
        <f>SUM(P66:P77)+P65</f>
        <v>10341.299999999999</v>
      </c>
      <c r="Q78" s="27">
        <f>SUM(Q66:Q77)+Q65</f>
        <v>10382.700000000001</v>
      </c>
      <c r="R78" s="27">
        <f>SUM(R66:R77)+R65</f>
        <v>10155</v>
      </c>
      <c r="S78" s="27">
        <f>SUM(S66:S77)+S65</f>
        <v>9868.4</v>
      </c>
      <c r="T78" s="27">
        <f>SUM(T66:T77)+T65</f>
        <v>9698.7999999999993</v>
      </c>
      <c r="AA78" s="27">
        <f>SUM(AA66:AA77)+AA65</f>
        <v>10516</v>
      </c>
      <c r="AB78" s="27">
        <f>SUM(AB66:AB77)+AB65</f>
        <v>10155</v>
      </c>
    </row>
    <row r="79" spans="2:28">
      <c r="P79" s="27"/>
      <c r="Q79" s="27"/>
      <c r="R79" s="27"/>
      <c r="S79" s="27"/>
      <c r="T79" s="27"/>
    </row>
    <row r="80" spans="2:28">
      <c r="B80" s="3" t="s">
        <v>105</v>
      </c>
      <c r="N80" s="27">
        <v>502.3</v>
      </c>
      <c r="P80" s="27">
        <v>515.4</v>
      </c>
      <c r="Q80" s="27">
        <v>548.79999999999995</v>
      </c>
      <c r="R80" s="27">
        <v>495.2</v>
      </c>
      <c r="S80" s="27">
        <v>562.70000000000005</v>
      </c>
      <c r="T80" s="27">
        <v>727.4</v>
      </c>
      <c r="AA80" s="27">
        <f>N80</f>
        <v>502.3</v>
      </c>
      <c r="AB80" s="27">
        <f>R80</f>
        <v>495.2</v>
      </c>
    </row>
    <row r="81" spans="2:28">
      <c r="B81" s="3" t="s">
        <v>106</v>
      </c>
      <c r="N81" s="27">
        <v>0</v>
      </c>
      <c r="P81" s="27">
        <v>2</v>
      </c>
      <c r="Q81" s="27">
        <v>6.5</v>
      </c>
      <c r="R81" s="27">
        <v>14.8</v>
      </c>
      <c r="S81" s="27">
        <v>14.1</v>
      </c>
      <c r="T81" s="27">
        <v>12.3</v>
      </c>
      <c r="AA81" s="27">
        <f t="shared" ref="AA81:AA93" si="29">N81</f>
        <v>0</v>
      </c>
      <c r="AB81" s="27">
        <f t="shared" ref="AB81:AB93" si="30">R81</f>
        <v>14.8</v>
      </c>
    </row>
    <row r="82" spans="2:28">
      <c r="B82" s="3" t="s">
        <v>107</v>
      </c>
      <c r="N82" s="27">
        <v>11.4</v>
      </c>
      <c r="P82" s="27">
        <v>10.8</v>
      </c>
      <c r="Q82" s="27">
        <v>11.2</v>
      </c>
      <c r="R82" s="27">
        <v>11.5</v>
      </c>
      <c r="S82" s="27">
        <v>11</v>
      </c>
      <c r="T82" s="27">
        <v>11.3</v>
      </c>
      <c r="AA82" s="27">
        <f t="shared" si="29"/>
        <v>11.4</v>
      </c>
      <c r="AB82" s="27">
        <f t="shared" si="30"/>
        <v>11.5</v>
      </c>
    </row>
    <row r="83" spans="2:28" s="2" customFormat="1">
      <c r="B83" s="2" t="s">
        <v>116</v>
      </c>
      <c r="N83" s="26">
        <v>375.5</v>
      </c>
      <c r="P83" s="26">
        <v>808.6</v>
      </c>
      <c r="Q83" s="26">
        <v>783.8</v>
      </c>
      <c r="R83" s="26">
        <v>574.20000000000005</v>
      </c>
      <c r="S83" s="26">
        <v>326.8</v>
      </c>
      <c r="T83" s="26">
        <v>70.2</v>
      </c>
      <c r="AA83" s="26">
        <f>N83</f>
        <v>375.5</v>
      </c>
      <c r="AB83" s="26">
        <f>R83</f>
        <v>574.20000000000005</v>
      </c>
    </row>
    <row r="84" spans="2:28">
      <c r="B84" s="3" t="s">
        <v>108</v>
      </c>
      <c r="N84" s="27">
        <v>249.9</v>
      </c>
      <c r="P84" s="27">
        <v>251.8</v>
      </c>
      <c r="Q84" s="27">
        <v>283.89999999999998</v>
      </c>
      <c r="R84" s="27">
        <v>241.3</v>
      </c>
      <c r="S84" s="27">
        <v>263.3</v>
      </c>
      <c r="T84" s="27">
        <v>258.8</v>
      </c>
      <c r="AA84" s="27">
        <f t="shared" si="29"/>
        <v>249.9</v>
      </c>
      <c r="AB84" s="27">
        <f t="shared" si="30"/>
        <v>241.3</v>
      </c>
    </row>
    <row r="85" spans="2:28">
      <c r="B85" s="3" t="s">
        <v>109</v>
      </c>
      <c r="N85" s="27">
        <v>1033</v>
      </c>
      <c r="P85" s="27">
        <v>991.7</v>
      </c>
      <c r="Q85" s="27">
        <v>1041.4000000000001</v>
      </c>
      <c r="R85" s="27">
        <v>1204.5999999999999</v>
      </c>
      <c r="S85" s="27">
        <v>1301.8</v>
      </c>
      <c r="T85" s="27">
        <v>1317.8</v>
      </c>
      <c r="AA85" s="27">
        <f t="shared" si="29"/>
        <v>1033</v>
      </c>
      <c r="AB85" s="27">
        <f t="shared" si="30"/>
        <v>1204.5999999999999</v>
      </c>
    </row>
    <row r="86" spans="2:28" s="2" customFormat="1">
      <c r="B86" s="2" t="s">
        <v>92</v>
      </c>
      <c r="N86" s="26">
        <v>1.2</v>
      </c>
      <c r="P86" s="26">
        <v>2.2999999999999998</v>
      </c>
      <c r="Q86" s="26">
        <v>2.8</v>
      </c>
      <c r="R86" s="26">
        <v>2.9</v>
      </c>
      <c r="S86" s="26">
        <v>3.2</v>
      </c>
      <c r="T86" s="26">
        <v>11</v>
      </c>
      <c r="AA86" s="26">
        <f>N86</f>
        <v>1.2</v>
      </c>
      <c r="AB86" s="26">
        <f>R86</f>
        <v>2.9</v>
      </c>
    </row>
    <row r="87" spans="2:28">
      <c r="B87" s="3" t="s">
        <v>110</v>
      </c>
      <c r="N87" s="27">
        <v>71.900000000000006</v>
      </c>
      <c r="P87" s="27">
        <v>44.3</v>
      </c>
      <c r="Q87" s="27">
        <v>38</v>
      </c>
      <c r="R87" s="27">
        <v>40.4</v>
      </c>
      <c r="S87" s="27">
        <v>38</v>
      </c>
      <c r="T87" s="27">
        <v>37.1</v>
      </c>
      <c r="AA87" s="27">
        <f t="shared" si="29"/>
        <v>71.900000000000006</v>
      </c>
      <c r="AB87" s="27">
        <f t="shared" si="30"/>
        <v>40.4</v>
      </c>
    </row>
    <row r="88" spans="2:28">
      <c r="B88" s="3" t="s">
        <v>111</v>
      </c>
      <c r="N88" s="27">
        <v>40.700000000000003</v>
      </c>
      <c r="P88" s="27">
        <v>73.5</v>
      </c>
      <c r="Q88" s="27">
        <v>85.3</v>
      </c>
      <c r="R88" s="27">
        <v>71.599999999999994</v>
      </c>
      <c r="S88" s="27">
        <v>71.400000000000006</v>
      </c>
      <c r="T88" s="27">
        <v>79.8</v>
      </c>
      <c r="AA88" s="27">
        <f t="shared" si="29"/>
        <v>40.700000000000003</v>
      </c>
      <c r="AB88" s="27">
        <f t="shared" si="30"/>
        <v>71.599999999999994</v>
      </c>
    </row>
    <row r="89" spans="2:28">
      <c r="B89" s="3" t="s">
        <v>187</v>
      </c>
      <c r="N89" s="27">
        <v>42.6</v>
      </c>
      <c r="P89" s="27">
        <v>38.700000000000003</v>
      </c>
      <c r="Q89" s="27">
        <v>34.1</v>
      </c>
      <c r="R89" s="27">
        <v>15.8</v>
      </c>
      <c r="S89" s="27">
        <v>0</v>
      </c>
      <c r="T89" s="27">
        <v>0</v>
      </c>
      <c r="AA89" s="27">
        <f t="shared" si="29"/>
        <v>42.6</v>
      </c>
      <c r="AB89" s="27">
        <f t="shared" si="30"/>
        <v>15.8</v>
      </c>
    </row>
    <row r="90" spans="2:28">
      <c r="B90" s="3" t="s">
        <v>112</v>
      </c>
      <c r="N90" s="27">
        <v>0.5</v>
      </c>
      <c r="P90" s="27">
        <v>2.5</v>
      </c>
      <c r="Q90" s="27">
        <v>2.5</v>
      </c>
      <c r="R90" s="27">
        <v>2.5</v>
      </c>
      <c r="S90" s="27">
        <v>2.8</v>
      </c>
      <c r="T90" s="27">
        <v>2.6</v>
      </c>
      <c r="AA90" s="27">
        <f t="shared" si="29"/>
        <v>0.5</v>
      </c>
      <c r="AB90" s="27">
        <f t="shared" si="30"/>
        <v>2.5</v>
      </c>
    </row>
    <row r="91" spans="2:28">
      <c r="B91" s="3" t="s">
        <v>113</v>
      </c>
      <c r="N91" s="27">
        <v>98.5</v>
      </c>
      <c r="P91" s="27">
        <v>113.54</v>
      </c>
      <c r="Q91" s="27">
        <v>114.1</v>
      </c>
      <c r="R91" s="27">
        <v>108.9</v>
      </c>
      <c r="S91" s="27">
        <v>113.8</v>
      </c>
      <c r="T91" s="27">
        <v>111.8</v>
      </c>
      <c r="AA91" s="27">
        <f t="shared" si="29"/>
        <v>98.5</v>
      </c>
      <c r="AB91" s="27">
        <f t="shared" si="30"/>
        <v>108.9</v>
      </c>
    </row>
    <row r="92" spans="2:28">
      <c r="B92" s="3" t="s">
        <v>186</v>
      </c>
      <c r="N92" s="27">
        <v>1.2</v>
      </c>
      <c r="P92" s="27">
        <v>1.1000000000000001</v>
      </c>
      <c r="Q92" s="27">
        <v>1.2</v>
      </c>
      <c r="R92" s="27">
        <v>0</v>
      </c>
      <c r="S92" s="27">
        <v>0</v>
      </c>
      <c r="T92" s="27">
        <v>0</v>
      </c>
      <c r="AA92" s="27">
        <f t="shared" si="29"/>
        <v>1.2</v>
      </c>
      <c r="AB92" s="27">
        <f t="shared" si="30"/>
        <v>0</v>
      </c>
    </row>
    <row r="93" spans="2:28">
      <c r="B93" s="3" t="s">
        <v>114</v>
      </c>
      <c r="N93" s="27">
        <v>0</v>
      </c>
      <c r="P93" s="27">
        <v>0</v>
      </c>
      <c r="Q93" s="27">
        <v>0</v>
      </c>
      <c r="R93" s="27">
        <v>45.1</v>
      </c>
      <c r="S93" s="3">
        <v>47.4</v>
      </c>
      <c r="T93" s="27">
        <v>0</v>
      </c>
      <c r="AA93" s="27">
        <f t="shared" si="29"/>
        <v>0</v>
      </c>
      <c r="AB93" s="27">
        <f t="shared" si="30"/>
        <v>45.1</v>
      </c>
    </row>
    <row r="94" spans="2:28">
      <c r="B94" s="3" t="s">
        <v>115</v>
      </c>
      <c r="N94" s="27">
        <f>SUM(N80:N93)</f>
        <v>2428.6999999999998</v>
      </c>
      <c r="P94" s="27">
        <f>SUM(P80:P93)</f>
        <v>2856.2400000000002</v>
      </c>
      <c r="Q94" s="27">
        <f>SUM(Q80:Q93)</f>
        <v>2953.6</v>
      </c>
      <c r="R94" s="27">
        <f>SUM(R80:R93)</f>
        <v>2828.8</v>
      </c>
      <c r="S94" s="27">
        <f>SUM(S80:S93)</f>
        <v>2756.3</v>
      </c>
      <c r="T94" s="27">
        <f>SUM(T80:T93)</f>
        <v>2640.1000000000004</v>
      </c>
      <c r="AA94" s="27">
        <f>SUM(AA80:AA93)</f>
        <v>2428.6999999999998</v>
      </c>
      <c r="AB94" s="27">
        <f>SUM(AB80:AB93)</f>
        <v>2828.8</v>
      </c>
    </row>
    <row r="95" spans="2:28">
      <c r="B95" s="3" t="s">
        <v>107</v>
      </c>
      <c r="N95" s="27">
        <v>53.3</v>
      </c>
      <c r="P95" s="27">
        <v>48.2</v>
      </c>
      <c r="Q95" s="27">
        <v>52.9</v>
      </c>
      <c r="R95" s="27">
        <v>52.3</v>
      </c>
      <c r="S95" s="27">
        <v>49</v>
      </c>
      <c r="T95" s="27">
        <v>52.6</v>
      </c>
      <c r="AA95" s="27">
        <f>N95</f>
        <v>53.3</v>
      </c>
      <c r="AB95" s="27">
        <f>R95</f>
        <v>52.3</v>
      </c>
    </row>
    <row r="96" spans="2:28" s="2" customFormat="1">
      <c r="B96" s="2" t="s">
        <v>116</v>
      </c>
      <c r="N96" s="26">
        <v>4072.5</v>
      </c>
      <c r="P96" s="26">
        <v>3523.2</v>
      </c>
      <c r="Q96" s="26">
        <v>3523.5</v>
      </c>
      <c r="R96" s="26">
        <v>3452.7</v>
      </c>
      <c r="S96" s="26">
        <v>3229</v>
      </c>
      <c r="T96" s="26">
        <v>3092.7</v>
      </c>
      <c r="AA96" s="26">
        <f>N96</f>
        <v>4072.5</v>
      </c>
      <c r="AB96" s="26">
        <f>R96</f>
        <v>3452.7</v>
      </c>
    </row>
    <row r="97" spans="2:28">
      <c r="B97" s="3" t="s">
        <v>108</v>
      </c>
      <c r="N97" s="27">
        <v>42.3</v>
      </c>
      <c r="P97" s="27">
        <v>44.9</v>
      </c>
      <c r="Q97" s="27">
        <v>39.6</v>
      </c>
      <c r="R97" s="27">
        <v>57.6</v>
      </c>
      <c r="S97" s="27">
        <v>53.8</v>
      </c>
      <c r="T97" s="27">
        <v>55.1</v>
      </c>
      <c r="AA97" s="27">
        <f t="shared" ref="AA97:AA104" si="31">N97</f>
        <v>42.3</v>
      </c>
      <c r="AB97" s="27">
        <f t="shared" ref="AB97:AB104" si="32">R97</f>
        <v>57.6</v>
      </c>
    </row>
    <row r="98" spans="2:28">
      <c r="B98" s="3" t="s">
        <v>109</v>
      </c>
      <c r="N98" s="27">
        <v>262.39999999999998</v>
      </c>
      <c r="P98" s="27">
        <v>267.5</v>
      </c>
      <c r="Q98" s="27">
        <v>324.8</v>
      </c>
      <c r="R98" s="27">
        <v>308.7</v>
      </c>
      <c r="S98" s="27">
        <v>454.8</v>
      </c>
      <c r="T98" s="27">
        <v>478.5</v>
      </c>
      <c r="AA98" s="27">
        <f t="shared" si="31"/>
        <v>262.39999999999998</v>
      </c>
      <c r="AB98" s="27">
        <f t="shared" si="32"/>
        <v>308.7</v>
      </c>
    </row>
    <row r="99" spans="2:28">
      <c r="B99" s="3" t="s">
        <v>92</v>
      </c>
      <c r="N99" s="27">
        <v>8.6999999999999993</v>
      </c>
      <c r="P99" s="27">
        <v>4.7</v>
      </c>
      <c r="Q99" s="27">
        <v>3.6</v>
      </c>
      <c r="R99" s="27">
        <v>3</v>
      </c>
      <c r="S99" s="27">
        <v>0</v>
      </c>
      <c r="T99" s="27">
        <v>0</v>
      </c>
      <c r="AA99" s="27">
        <f t="shared" si="31"/>
        <v>8.6999999999999993</v>
      </c>
      <c r="AB99" s="27">
        <f t="shared" si="32"/>
        <v>3</v>
      </c>
    </row>
    <row r="100" spans="2:28">
      <c r="B100" s="3" t="s">
        <v>110</v>
      </c>
      <c r="N100" s="27">
        <v>11.8</v>
      </c>
      <c r="P100" s="27">
        <v>12.4</v>
      </c>
      <c r="Q100" s="27">
        <v>10</v>
      </c>
      <c r="R100" s="27">
        <v>10</v>
      </c>
      <c r="S100" s="27">
        <v>13</v>
      </c>
      <c r="T100" s="27">
        <v>12.1</v>
      </c>
      <c r="AA100" s="27">
        <f t="shared" si="31"/>
        <v>11.8</v>
      </c>
      <c r="AB100" s="27">
        <f t="shared" si="32"/>
        <v>10</v>
      </c>
    </row>
    <row r="101" spans="2:28">
      <c r="B101" s="3" t="s">
        <v>117</v>
      </c>
      <c r="N101" s="27">
        <v>474.7</v>
      </c>
      <c r="P101" s="27">
        <v>444.8</v>
      </c>
      <c r="Q101" s="27">
        <v>428.6</v>
      </c>
      <c r="R101" s="27">
        <v>505.8</v>
      </c>
      <c r="S101" s="27">
        <v>376.1</v>
      </c>
      <c r="T101" s="27">
        <v>334.4</v>
      </c>
      <c r="AA101" s="27">
        <f t="shared" si="31"/>
        <v>474.7</v>
      </c>
      <c r="AB101" s="27">
        <f t="shared" si="32"/>
        <v>505.8</v>
      </c>
    </row>
    <row r="102" spans="2:28">
      <c r="B102" s="3" t="s">
        <v>187</v>
      </c>
      <c r="N102" s="27">
        <v>82.6</v>
      </c>
      <c r="P102" s="27">
        <v>73.8</v>
      </c>
      <c r="Q102" s="27">
        <v>63.1</v>
      </c>
      <c r="R102" s="27">
        <v>2.9</v>
      </c>
      <c r="S102" s="27">
        <v>0</v>
      </c>
      <c r="T102" s="27">
        <v>0</v>
      </c>
      <c r="AA102" s="27">
        <f t="shared" si="31"/>
        <v>82.6</v>
      </c>
      <c r="AB102" s="27">
        <f t="shared" si="32"/>
        <v>2.9</v>
      </c>
    </row>
    <row r="103" spans="2:28">
      <c r="B103" s="3" t="s">
        <v>112</v>
      </c>
      <c r="N103" s="27">
        <v>57.3</v>
      </c>
      <c r="P103" s="27">
        <v>67.599999999999994</v>
      </c>
      <c r="Q103" s="27">
        <v>66.400000000000006</v>
      </c>
      <c r="R103" s="27">
        <v>37.700000000000003</v>
      </c>
      <c r="S103" s="27">
        <v>37.6</v>
      </c>
      <c r="T103" s="27">
        <v>27.2</v>
      </c>
      <c r="AA103" s="27">
        <f t="shared" si="31"/>
        <v>57.3</v>
      </c>
      <c r="AB103" s="27">
        <f t="shared" si="32"/>
        <v>37.700000000000003</v>
      </c>
    </row>
    <row r="104" spans="2:28">
      <c r="B104" s="3" t="s">
        <v>113</v>
      </c>
      <c r="N104" s="27">
        <v>114.2</v>
      </c>
      <c r="P104" s="27">
        <v>112.3</v>
      </c>
      <c r="Q104" s="27">
        <v>108.4</v>
      </c>
      <c r="R104" s="27">
        <v>120.5</v>
      </c>
      <c r="S104" s="27">
        <v>141.9</v>
      </c>
      <c r="T104" s="27">
        <v>133.4</v>
      </c>
      <c r="AA104" s="27">
        <f t="shared" si="31"/>
        <v>114.2</v>
      </c>
      <c r="AB104" s="27">
        <f t="shared" si="32"/>
        <v>120.5</v>
      </c>
    </row>
    <row r="105" spans="2:28">
      <c r="B105" s="3" t="s">
        <v>118</v>
      </c>
      <c r="N105" s="27">
        <f>SUM(N95:N104)+N94</f>
        <v>7608.5</v>
      </c>
      <c r="P105" s="27">
        <f>SUM(P95:P104)+P94</f>
        <v>7455.6400000000012</v>
      </c>
      <c r="Q105" s="27">
        <f>SUM(Q95:Q104)+Q94</f>
        <v>7574.5</v>
      </c>
      <c r="R105" s="27">
        <f>SUM(R95:R104)+R94</f>
        <v>7379.9999999999991</v>
      </c>
      <c r="S105" s="27">
        <f>SUM(S95:S104)+S94</f>
        <v>7111.5000000000009</v>
      </c>
      <c r="T105" s="27">
        <f>SUM(T95:T104)+T94</f>
        <v>6826.0999999999995</v>
      </c>
      <c r="AA105" s="27">
        <f>SUM(AA95:AA104)+AA94</f>
        <v>7608.5</v>
      </c>
      <c r="AB105" s="27">
        <f>SUM(AB95:AB104)+AB94</f>
        <v>7379.9999999999991</v>
      </c>
    </row>
    <row r="106" spans="2:28">
      <c r="P106" s="27"/>
      <c r="Q106" s="27"/>
      <c r="R106" s="27"/>
      <c r="S106" s="27"/>
      <c r="T106" s="27"/>
    </row>
    <row r="107" spans="2:28">
      <c r="B107" s="3" t="s">
        <v>119</v>
      </c>
      <c r="N107" s="27">
        <v>2907.5</v>
      </c>
      <c r="P107" s="27">
        <v>2885.7</v>
      </c>
      <c r="Q107" s="27">
        <v>2808.2</v>
      </c>
      <c r="R107" s="27">
        <v>2775</v>
      </c>
      <c r="S107" s="27">
        <v>2756.9</v>
      </c>
      <c r="T107" s="27">
        <v>2872.7</v>
      </c>
      <c r="AA107" s="27">
        <f>N107</f>
        <v>2907.5</v>
      </c>
      <c r="AB107" s="27">
        <f>R107</f>
        <v>2775</v>
      </c>
    </row>
    <row r="108" spans="2:28">
      <c r="B108" s="3" t="s">
        <v>120</v>
      </c>
      <c r="N108" s="27">
        <f>N107+N105</f>
        <v>10516</v>
      </c>
      <c r="P108" s="27">
        <f>P107+P105</f>
        <v>10341.34</v>
      </c>
      <c r="Q108" s="27">
        <f>Q107+Q105</f>
        <v>10382.700000000001</v>
      </c>
      <c r="R108" s="27">
        <f>R107+R105</f>
        <v>10155</v>
      </c>
      <c r="S108" s="27">
        <f>S107+S105</f>
        <v>9868.4000000000015</v>
      </c>
      <c r="T108" s="27">
        <f>T107+T105</f>
        <v>9698.7999999999993</v>
      </c>
      <c r="AA108" s="27">
        <f>AA107+AA105</f>
        <v>10516</v>
      </c>
      <c r="AB108" s="27">
        <f>AB107+AB105</f>
        <v>10155</v>
      </c>
    </row>
    <row r="110" spans="2:28">
      <c r="B110" s="3" t="s">
        <v>121</v>
      </c>
      <c r="N110" s="27">
        <f t="shared" ref="N110" si="33">N78-N105</f>
        <v>2907.5</v>
      </c>
      <c r="P110" s="27">
        <f t="shared" ref="P110:Q110" si="34">P78-P105</f>
        <v>2885.659999999998</v>
      </c>
      <c r="Q110" s="27">
        <f t="shared" si="34"/>
        <v>2808.2000000000007</v>
      </c>
      <c r="R110" s="27">
        <f t="shared" ref="R110" si="35">R78-R105</f>
        <v>2775.0000000000009</v>
      </c>
      <c r="S110" s="27">
        <f>S78-S105</f>
        <v>2756.8999999999987</v>
      </c>
      <c r="T110" s="27">
        <f>T78-T105</f>
        <v>2872.7</v>
      </c>
      <c r="AA110" s="27">
        <f t="shared" ref="AA110:AB110" si="36">AA78-AA105</f>
        <v>2907.5</v>
      </c>
      <c r="AB110" s="27">
        <f>AB78-AB105</f>
        <v>2775.0000000000009</v>
      </c>
    </row>
    <row r="111" spans="2:28">
      <c r="B111" s="3" t="s">
        <v>122</v>
      </c>
      <c r="N111" s="3">
        <f t="shared" ref="N111:Q111" si="37">N110/N27</f>
        <v>3.9493344199945666</v>
      </c>
      <c r="P111" s="3">
        <f t="shared" si="37"/>
        <v>3.9271366358192683</v>
      </c>
      <c r="Q111" s="3">
        <f t="shared" si="37"/>
        <v>3.821720195971694</v>
      </c>
      <c r="R111" s="3">
        <f t="shared" ref="R111" si="38">R110/R27</f>
        <v>3.7770518579011854</v>
      </c>
      <c r="S111" s="3">
        <f>S110/S27</f>
        <v>3.7529267628641421</v>
      </c>
      <c r="T111" s="3">
        <f>T110/T27</f>
        <v>3.9105635720119789</v>
      </c>
      <c r="AA111" s="3">
        <f t="shared" ref="AA111" si="39">AA110/AA27</f>
        <v>3.9493344199945666</v>
      </c>
      <c r="AB111" s="3">
        <f>AB110/AB27</f>
        <v>3.7770518579011854</v>
      </c>
    </row>
    <row r="113" spans="2:28" s="39" customFormat="1">
      <c r="B113" s="39" t="s">
        <v>6</v>
      </c>
      <c r="N113" s="52">
        <f t="shared" ref="N113" si="40">N54+N55+N66+N68</f>
        <v>2753.6</v>
      </c>
      <c r="P113" s="52">
        <f t="shared" ref="P113:Q113" si="41">P54+P55+P66+P68</f>
        <v>2514.3000000000002</v>
      </c>
      <c r="Q113" s="52">
        <f t="shared" si="41"/>
        <v>2503.6999999999998</v>
      </c>
      <c r="R113" s="52">
        <f t="shared" ref="R113" si="42">R54+R55+R66+R68</f>
        <v>2634.7</v>
      </c>
      <c r="S113" s="52">
        <f t="shared" ref="S113:T113" si="43">S54+S55+S66+S68</f>
        <v>2104.1999999999998</v>
      </c>
      <c r="T113" s="52">
        <f>T54+T55+T66+T68</f>
        <v>1968.2</v>
      </c>
      <c r="AA113" s="52">
        <f t="shared" ref="AA113:AB113" si="44">AA54+AA55+AA66+AA68</f>
        <v>2753.6</v>
      </c>
      <c r="AB113" s="52">
        <f>AB54+AB55+AB66+AB68</f>
        <v>2634.7</v>
      </c>
    </row>
    <row r="114" spans="2:28" s="39" customFormat="1">
      <c r="B114" s="39" t="s">
        <v>7</v>
      </c>
      <c r="N114" s="52">
        <f t="shared" ref="N114" si="45">N83+N86+N96</f>
        <v>4449.2</v>
      </c>
      <c r="P114" s="52">
        <f t="shared" ref="P114:Q114" si="46">P83+P86+P96</f>
        <v>4334.0999999999995</v>
      </c>
      <c r="Q114" s="52">
        <f t="shared" si="46"/>
        <v>4310.1000000000004</v>
      </c>
      <c r="R114" s="52">
        <f t="shared" ref="R114" si="47">R83+R86+R96</f>
        <v>4029.7999999999997</v>
      </c>
      <c r="S114" s="52">
        <f>S83+S86+S96</f>
        <v>3559</v>
      </c>
      <c r="T114" s="52">
        <f>T83+T86+T96</f>
        <v>3173.8999999999996</v>
      </c>
      <c r="AA114" s="52">
        <f t="shared" ref="AA114:AB114" si="48">AA83+AA86+AA96</f>
        <v>4449.2</v>
      </c>
      <c r="AB114" s="52">
        <f>AB83+AB86+AB96</f>
        <v>4029.7999999999997</v>
      </c>
    </row>
    <row r="115" spans="2:28">
      <c r="B115" s="3" t="s">
        <v>8</v>
      </c>
      <c r="N115" s="27">
        <f t="shared" ref="N115:R115" si="49">N113-N114</f>
        <v>-1695.6</v>
      </c>
      <c r="P115" s="27">
        <f t="shared" si="49"/>
        <v>-1819.7999999999993</v>
      </c>
      <c r="Q115" s="27">
        <f t="shared" si="49"/>
        <v>-1806.4000000000005</v>
      </c>
      <c r="R115" s="27">
        <f t="shared" si="49"/>
        <v>-1395.1</v>
      </c>
      <c r="S115" s="27">
        <f>S113-S114</f>
        <v>-1454.8000000000002</v>
      </c>
      <c r="T115" s="27">
        <f>T113-T114</f>
        <v>-1205.6999999999996</v>
      </c>
      <c r="AA115" s="27">
        <f t="shared" ref="AA115" si="50">AA113-AA114</f>
        <v>-1695.6</v>
      </c>
      <c r="AB115" s="27">
        <f>AB113-AB114</f>
        <v>-1395.1</v>
      </c>
    </row>
    <row r="117" spans="2:28" s="2" customFormat="1">
      <c r="B117" s="2" t="s">
        <v>134</v>
      </c>
      <c r="Q117" s="34"/>
      <c r="R117" s="34">
        <f t="shared" ref="Q117:S117" si="51">R60/N60-1</f>
        <v>-0.18536445301283899</v>
      </c>
      <c r="S117" s="34"/>
      <c r="T117" s="34">
        <f>T60/P60-1</f>
        <v>3.36501079913607E-2</v>
      </c>
      <c r="AB117" s="34">
        <f>AB60/AA60-1</f>
        <v>-0.18536445301283899</v>
      </c>
    </row>
    <row r="118" spans="2:28">
      <c r="B118" s="3" t="s">
        <v>135</v>
      </c>
      <c r="Q118" s="25">
        <f>Q60/P60-1</f>
        <v>-4.3196544276458138E-3</v>
      </c>
      <c r="R118" s="25">
        <f t="shared" ref="R118:T118" si="52">R60/Q60-1</f>
        <v>-0.13839479392624732</v>
      </c>
      <c r="S118" s="25">
        <f t="shared" si="52"/>
        <v>0.11923464249748239</v>
      </c>
      <c r="T118" s="25">
        <f>T60/S60-1</f>
        <v>7.6525103473096934E-2</v>
      </c>
      <c r="AA118" s="14" t="s">
        <v>191</v>
      </c>
      <c r="AB118" s="14" t="s">
        <v>191</v>
      </c>
    </row>
    <row r="120" spans="2:28">
      <c r="B120" s="3" t="s">
        <v>136</v>
      </c>
    </row>
    <row r="122" spans="2:28">
      <c r="B122" s="3" t="s">
        <v>178</v>
      </c>
      <c r="M122" s="3">
        <v>4.41</v>
      </c>
      <c r="N122" s="3">
        <v>6.81</v>
      </c>
      <c r="O122" s="3">
        <v>9.9600000000000009</v>
      </c>
      <c r="P122" s="3">
        <v>15.14</v>
      </c>
      <c r="Q122" s="27">
        <v>17</v>
      </c>
      <c r="R122" s="3">
        <v>13.9</v>
      </c>
      <c r="S122" s="3">
        <v>12.61</v>
      </c>
      <c r="T122" s="3">
        <v>8.7799999999999994</v>
      </c>
      <c r="AA122" s="3">
        <f>N122</f>
        <v>6.81</v>
      </c>
      <c r="AB122" s="3">
        <f>R122</f>
        <v>13.9</v>
      </c>
    </row>
    <row r="123" spans="2:28" s="27" customFormat="1">
      <c r="B123" s="27" t="s">
        <v>179</v>
      </c>
      <c r="M123" s="27">
        <f>M122*M27</f>
        <v>3246.6420000000003</v>
      </c>
      <c r="N123" s="27">
        <f>N122*N27</f>
        <v>5013.5219999999999</v>
      </c>
      <c r="O123" s="27">
        <f>O122*O27</f>
        <v>7320.6</v>
      </c>
      <c r="P123" s="27">
        <f>P122*P27</f>
        <v>11124.871999999999</v>
      </c>
      <c r="Q123" s="27">
        <f>Q122*Q27</f>
        <v>12491.599999999999</v>
      </c>
      <c r="R123" s="27">
        <f>R122*R27</f>
        <v>10212.330000000002</v>
      </c>
      <c r="S123" s="27">
        <f>S122*S27</f>
        <v>9263.3060000000005</v>
      </c>
      <c r="T123" s="27">
        <f>T122*T27</f>
        <v>6449.7879999999996</v>
      </c>
      <c r="AA123" s="27">
        <f t="shared" ref="AA123" si="53">AA122*AA27</f>
        <v>5013.5219999999999</v>
      </c>
      <c r="AB123" s="27">
        <f>AB122*AB27</f>
        <v>10212.330000000002</v>
      </c>
    </row>
    <row r="124" spans="2:28" s="27" customFormat="1">
      <c r="B124" s="27" t="s">
        <v>9</v>
      </c>
      <c r="M124" s="27">
        <f>M123-M115</f>
        <v>3246.6420000000003</v>
      </c>
      <c r="N124" s="27">
        <f>N123-N115</f>
        <v>6709.1219999999994</v>
      </c>
      <c r="O124" s="27">
        <f>O123-O115</f>
        <v>7320.6</v>
      </c>
      <c r="P124" s="27">
        <f>P123-P115</f>
        <v>12944.671999999999</v>
      </c>
      <c r="Q124" s="27">
        <f>Q123-Q115</f>
        <v>14298</v>
      </c>
      <c r="R124" s="27">
        <f>R123-R115</f>
        <v>11607.430000000002</v>
      </c>
      <c r="S124" s="27">
        <f>S123-S115</f>
        <v>10718.106</v>
      </c>
      <c r="T124" s="27">
        <f>T123-T115</f>
        <v>7655.4879999999994</v>
      </c>
      <c r="AA124" s="27">
        <f t="shared" ref="AA124" si="54">AA123-AA115</f>
        <v>6709.1219999999994</v>
      </c>
      <c r="AB124" s="27">
        <f>AB123-AB115</f>
        <v>11607.430000000002</v>
      </c>
    </row>
    <row r="126" spans="2:28">
      <c r="B126" s="3" t="s">
        <v>26</v>
      </c>
      <c r="N126" s="57">
        <f>N122/N111</f>
        <v>1.7243411865864144</v>
      </c>
      <c r="P126" s="57">
        <f>P122/P111</f>
        <v>3.8552261874233302</v>
      </c>
      <c r="Q126" s="57">
        <f>Q122/Q111</f>
        <v>4.4482586710348251</v>
      </c>
      <c r="R126" s="57">
        <f>R122/R111</f>
        <v>3.6801189189189176</v>
      </c>
      <c r="S126" s="57">
        <f>S122/S111</f>
        <v>3.3600442526025622</v>
      </c>
      <c r="T126" s="57">
        <f>T122/T111</f>
        <v>2.2452006822849584</v>
      </c>
      <c r="AA126" s="57">
        <f>AA122/AA111</f>
        <v>1.7243411865864144</v>
      </c>
      <c r="AB126" s="57">
        <f>AB122/AB111</f>
        <v>3.6801189189189176</v>
      </c>
    </row>
    <row r="127" spans="2:28">
      <c r="B127" s="3" t="s">
        <v>27</v>
      </c>
      <c r="P127" s="57">
        <f t="shared" ref="P127:S127" si="55">P122/SUM(M9:P9)</f>
        <v>3.3363450053989726E-3</v>
      </c>
      <c r="Q127" s="57">
        <f t="shared" si="55"/>
        <v>3.5885419964958943E-3</v>
      </c>
      <c r="R127" s="57">
        <f t="shared" si="55"/>
        <v>3.3117316306108839E-3</v>
      </c>
      <c r="S127" s="57">
        <f t="shared" si="55"/>
        <v>3.1597674651698908E-3</v>
      </c>
      <c r="T127" s="57">
        <f>T122/SUM(Q9:T9)</f>
        <v>2.2633532687151986E-3</v>
      </c>
      <c r="AA127" s="57">
        <f t="shared" ref="AA127:AB127" si="56">AA123/AA9</f>
        <v>1.3294587786057119</v>
      </c>
      <c r="AB127" s="57">
        <f>AB123/AB9</f>
        <v>2.4331292290098165</v>
      </c>
    </row>
    <row r="128" spans="2:28">
      <c r="B128" s="3" t="s">
        <v>28</v>
      </c>
      <c r="P128" s="57">
        <f t="shared" ref="P128:S128" si="57">P122/SUM(M26:P26)</f>
        <v>-88.265429889576552</v>
      </c>
      <c r="Q128" s="57">
        <f t="shared" si="57"/>
        <v>-249.48613055071797</v>
      </c>
      <c r="R128" s="57">
        <f t="shared" si="57"/>
        <v>-228.62115367889854</v>
      </c>
      <c r="S128" s="57">
        <f t="shared" si="57"/>
        <v>697.1161832155442</v>
      </c>
      <c r="T128" s="57">
        <f>T122/SUM(Q26:T26)</f>
        <v>-16621.554193892349</v>
      </c>
      <c r="AA128" s="57">
        <f>AA122/AA26</f>
        <v>-6.8500095641481078</v>
      </c>
      <c r="AB128" s="57">
        <f>AB122/AB26</f>
        <v>-228.46375838926176</v>
      </c>
    </row>
  </sheetData>
  <hyperlinks>
    <hyperlink ref="T1" r:id="rId1" xr:uid="{680599EF-35E5-444E-BE52-11E2AAE328C4}"/>
    <hyperlink ref="S1" r:id="rId2" xr:uid="{93CDF7DF-1EA6-42CA-BCC8-DA2865B51A26}"/>
    <hyperlink ref="Q1" r:id="rId3" xr:uid="{9752E2CB-3CEF-4245-BFA9-C0218E68B8CA}"/>
    <hyperlink ref="R1" r:id="rId4" xr:uid="{BA3118D8-58BD-4D30-9D14-69D83EF60AFC}"/>
    <hyperlink ref="AB1" r:id="rId5" xr:uid="{F4157810-6A61-4ACC-AAA5-22475F0942B7}"/>
  </hyperlinks>
  <pageMargins left="0.7" right="0.7" top="0.75" bottom="0.75" header="0.3" footer="0.3"/>
  <pageSetup paperSize="256" orientation="portrait" horizontalDpi="203" verticalDpi="203" r:id="rId6"/>
  <ignoredErrors>
    <ignoredError sqref="AA65:AB65 AA94:AB94" formula="1"/>
    <ignoredError sqref="P127:T127" formulaRange="1"/>
  </ignoredErrors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CA0E5-563F-4C1F-B583-AD76D8E7BBD2}">
  <dimension ref="C4:D7"/>
  <sheetViews>
    <sheetView workbookViewId="0">
      <selection activeCell="D6" sqref="D6"/>
    </sheetView>
  </sheetViews>
  <sheetFormatPr defaultRowHeight="12.75"/>
  <cols>
    <col min="1" max="16384" width="9.140625" style="3"/>
  </cols>
  <sheetData>
    <row r="4" spans="3:4">
      <c r="D4" s="3" t="s">
        <v>177</v>
      </c>
    </row>
    <row r="6" spans="3:4">
      <c r="C6" s="3" t="s">
        <v>188</v>
      </c>
      <c r="D6" s="3" t="s">
        <v>189</v>
      </c>
    </row>
    <row r="7" spans="3:4">
      <c r="C7" s="3" t="s">
        <v>181</v>
      </c>
      <c r="D7" s="3" t="s">
        <v>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Order &amp;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2022-10-06T22:47:01Z</dcterms:created>
  <dcterms:modified xsi:type="dcterms:W3CDTF">2022-10-09T21:46:21Z</dcterms:modified>
</cp:coreProperties>
</file>