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3FE304B4-D3C1-49B3-B5F6-A090B7C9709E}" xr6:coauthVersionLast="36" xr6:coauthVersionMax="36" xr10:uidLastSave="{00000000-0000-0000-0000-000000000000}"/>
  <bookViews>
    <workbookView xWindow="0" yWindow="0" windowWidth="27885" windowHeight="11340" xr2:uid="{183F5C98-2AC0-40CB-A226-9D7A7B2AE295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2" l="1"/>
  <c r="J25" i="2"/>
  <c r="I26" i="2"/>
  <c r="H31" i="2"/>
  <c r="H30" i="2"/>
  <c r="H29" i="2"/>
  <c r="H28" i="2"/>
  <c r="H26" i="2"/>
  <c r="H10" i="2"/>
  <c r="J10" i="2"/>
  <c r="L25" i="2" s="1"/>
  <c r="H23" i="2"/>
  <c r="H20" i="2"/>
  <c r="H18" i="2"/>
  <c r="H17" i="2"/>
  <c r="H15" i="2"/>
  <c r="H14" i="2"/>
  <c r="H13" i="2"/>
  <c r="H16" i="2" s="1"/>
  <c r="H11" i="2"/>
  <c r="H3" i="2"/>
  <c r="H2" i="2"/>
  <c r="H9" i="2"/>
  <c r="H8" i="2"/>
  <c r="H7" i="2"/>
  <c r="H6" i="2"/>
  <c r="H5" i="2"/>
  <c r="H4" i="2"/>
  <c r="H12" i="2"/>
  <c r="S31" i="2"/>
  <c r="S30" i="2"/>
  <c r="S29" i="2"/>
  <c r="S28" i="2"/>
  <c r="T31" i="2"/>
  <c r="T30" i="2"/>
  <c r="T29" i="2"/>
  <c r="T28" i="2"/>
  <c r="S22" i="2"/>
  <c r="T22" i="2"/>
  <c r="T25" i="2"/>
  <c r="U25" i="2"/>
  <c r="S10" i="2"/>
  <c r="S12" i="2" s="1"/>
  <c r="S16" i="2" s="1"/>
  <c r="S19" i="2" s="1"/>
  <c r="S21" i="2" s="1"/>
  <c r="T10" i="2"/>
  <c r="T12" i="2" s="1"/>
  <c r="T16" i="2" s="1"/>
  <c r="T19" i="2" s="1"/>
  <c r="T21" i="2" s="1"/>
  <c r="D12" i="1"/>
  <c r="D11" i="1"/>
  <c r="D10" i="1"/>
  <c r="D8" i="1"/>
  <c r="C39" i="1"/>
  <c r="C38" i="1"/>
  <c r="C37" i="1"/>
  <c r="C36" i="1"/>
  <c r="L97" i="2"/>
  <c r="J97" i="2"/>
  <c r="J95" i="2"/>
  <c r="J94" i="2"/>
  <c r="J93" i="2"/>
  <c r="V97" i="2"/>
  <c r="U97" i="2"/>
  <c r="V95" i="2"/>
  <c r="U95" i="2"/>
  <c r="U94" i="2"/>
  <c r="V94" i="2"/>
  <c r="V78" i="2"/>
  <c r="V79" i="2" s="1"/>
  <c r="V77" i="2"/>
  <c r="V74" i="2"/>
  <c r="V75" i="2" s="1"/>
  <c r="U78" i="2"/>
  <c r="U77" i="2"/>
  <c r="U79" i="2" s="1"/>
  <c r="U74" i="2"/>
  <c r="U75" i="2" s="1"/>
  <c r="U72" i="2"/>
  <c r="V72" i="2"/>
  <c r="V62" i="2"/>
  <c r="V69" i="2" s="1"/>
  <c r="U62" i="2"/>
  <c r="U69" i="2" s="1"/>
  <c r="V46" i="2"/>
  <c r="V54" i="2" s="1"/>
  <c r="U46" i="2"/>
  <c r="U54" i="2" s="1"/>
  <c r="L26" i="2"/>
  <c r="M26" i="2"/>
  <c r="I28" i="2"/>
  <c r="I29" i="2"/>
  <c r="I30" i="2"/>
  <c r="I31" i="2"/>
  <c r="L31" i="2"/>
  <c r="L30" i="2"/>
  <c r="L29" i="2"/>
  <c r="L28" i="2"/>
  <c r="J23" i="2"/>
  <c r="J20" i="2"/>
  <c r="J18" i="2"/>
  <c r="J17" i="2"/>
  <c r="J15" i="2"/>
  <c r="J14" i="2"/>
  <c r="J13" i="2"/>
  <c r="J11" i="2"/>
  <c r="I19" i="2"/>
  <c r="J9" i="2"/>
  <c r="J8" i="2"/>
  <c r="J7" i="2"/>
  <c r="J6" i="2"/>
  <c r="J5" i="2"/>
  <c r="J4" i="2"/>
  <c r="J2" i="2"/>
  <c r="L3" i="2"/>
  <c r="L2" i="2"/>
  <c r="L22" i="2"/>
  <c r="L23" i="2"/>
  <c r="L20" i="2"/>
  <c r="L18" i="2"/>
  <c r="L17" i="2"/>
  <c r="L15" i="2"/>
  <c r="L14" i="2"/>
  <c r="L13" i="2"/>
  <c r="L11" i="2"/>
  <c r="L12" i="2"/>
  <c r="L16" i="2"/>
  <c r="L10" i="2"/>
  <c r="L9" i="2"/>
  <c r="L8" i="2"/>
  <c r="L7" i="2"/>
  <c r="L6" i="2"/>
  <c r="L5" i="2"/>
  <c r="L4" i="2"/>
  <c r="U31" i="2"/>
  <c r="U30" i="2"/>
  <c r="U29" i="2"/>
  <c r="U28" i="2"/>
  <c r="V31" i="2"/>
  <c r="V30" i="2"/>
  <c r="V29" i="2"/>
  <c r="V28" i="2"/>
  <c r="U22" i="2"/>
  <c r="V22" i="2"/>
  <c r="U12" i="2"/>
  <c r="U16" i="2" s="1"/>
  <c r="U19" i="2" s="1"/>
  <c r="U21" i="2" s="1"/>
  <c r="V12" i="2"/>
  <c r="V16" i="2" s="1"/>
  <c r="V19" i="2" s="1"/>
  <c r="V21" i="2" s="1"/>
  <c r="V25" i="2"/>
  <c r="U10" i="2"/>
  <c r="V10" i="2"/>
  <c r="G97" i="2"/>
  <c r="I97" i="2"/>
  <c r="K97" i="2"/>
  <c r="G95" i="2"/>
  <c r="I95" i="2"/>
  <c r="G94" i="2"/>
  <c r="I94" i="2"/>
  <c r="G78" i="2"/>
  <c r="G77" i="2"/>
  <c r="G79" i="2" s="1"/>
  <c r="G74" i="2"/>
  <c r="G75" i="2" s="1"/>
  <c r="I78" i="2"/>
  <c r="I77" i="2"/>
  <c r="I79" i="2" s="1"/>
  <c r="I75" i="2"/>
  <c r="I74" i="2"/>
  <c r="G72" i="2"/>
  <c r="I72" i="2"/>
  <c r="M69" i="2"/>
  <c r="K69" i="2"/>
  <c r="G69" i="2"/>
  <c r="K72" i="2"/>
  <c r="I69" i="2"/>
  <c r="G62" i="2"/>
  <c r="I62" i="2"/>
  <c r="G46" i="2"/>
  <c r="G54" i="2" s="1"/>
  <c r="I46" i="2"/>
  <c r="I54" i="2" s="1"/>
  <c r="G31" i="2"/>
  <c r="G30" i="2"/>
  <c r="G29" i="2"/>
  <c r="G28" i="2"/>
  <c r="G22" i="2"/>
  <c r="I21" i="2"/>
  <c r="G12" i="2"/>
  <c r="G16" i="2" s="1"/>
  <c r="G19" i="2" s="1"/>
  <c r="G21" i="2" s="1"/>
  <c r="G10" i="2"/>
  <c r="I10" i="2"/>
  <c r="K25" i="2" s="1"/>
  <c r="K79" i="2"/>
  <c r="K78" i="2"/>
  <c r="K77" i="2"/>
  <c r="K62" i="2"/>
  <c r="M54" i="2"/>
  <c r="K54" i="2"/>
  <c r="C40" i="1"/>
  <c r="M97" i="2"/>
  <c r="L95" i="2"/>
  <c r="K95" i="2"/>
  <c r="M95" i="2"/>
  <c r="L94" i="2"/>
  <c r="L93" i="2"/>
  <c r="D30" i="1"/>
  <c r="C11" i="1"/>
  <c r="C10" i="1"/>
  <c r="M77" i="2"/>
  <c r="J26" i="2" l="1"/>
  <c r="K26" i="2"/>
  <c r="J12" i="2"/>
  <c r="H19" i="2"/>
  <c r="H21" i="2" s="1"/>
  <c r="H22" i="2" s="1"/>
  <c r="I22" i="2"/>
  <c r="L19" i="2"/>
  <c r="L21" i="2" s="1"/>
  <c r="K74" i="2"/>
  <c r="K75" i="2" s="1"/>
  <c r="I25" i="2"/>
  <c r="I12" i="2"/>
  <c r="I16" i="2" s="1"/>
  <c r="J16" i="2" l="1"/>
  <c r="J28" i="2"/>
  <c r="M79" i="2"/>
  <c r="M78" i="2"/>
  <c r="C8" i="1"/>
  <c r="C9" i="1" s="1"/>
  <c r="M72" i="2"/>
  <c r="M74" i="2"/>
  <c r="M75" i="2" s="1"/>
  <c r="C35" i="1" s="1"/>
  <c r="M62" i="2"/>
  <c r="K46" i="2"/>
  <c r="M46" i="2"/>
  <c r="K31" i="2"/>
  <c r="K30" i="2"/>
  <c r="K29" i="2"/>
  <c r="K28" i="2"/>
  <c r="M31" i="2"/>
  <c r="M30" i="2"/>
  <c r="M29" i="2"/>
  <c r="M28" i="2"/>
  <c r="M25" i="2"/>
  <c r="K10" i="2"/>
  <c r="K12" i="2" s="1"/>
  <c r="K16" i="2" s="1"/>
  <c r="K19" i="2" s="1"/>
  <c r="K21" i="2" s="1"/>
  <c r="K22" i="2" s="1"/>
  <c r="M10" i="2"/>
  <c r="M12" i="2" s="1"/>
  <c r="M16" i="2" s="1"/>
  <c r="M19" i="2" s="1"/>
  <c r="M21" i="2" s="1"/>
  <c r="M22" i="2" s="1"/>
  <c r="C12" i="1"/>
  <c r="J29" i="2" l="1"/>
  <c r="J19" i="2"/>
  <c r="C13" i="1"/>
  <c r="J21" i="2" l="1"/>
  <c r="J31" i="2"/>
  <c r="J30" i="2" l="1"/>
  <c r="J22" i="2"/>
</calcChain>
</file>

<file path=xl/sharedStrings.xml><?xml version="1.0" encoding="utf-8"?>
<sst xmlns="http://schemas.openxmlformats.org/spreadsheetml/2006/main" count="138" uniqueCount="113">
  <si>
    <t>£PSON</t>
  </si>
  <si>
    <t>Pearson Plc.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</si>
  <si>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</si>
  <si>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</si>
  <si>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</si>
  <si>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</si>
  <si>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</si>
  <si>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</si>
  <si>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</si>
  <si>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</si>
  <si>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</si>
  <si>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</si>
  <si>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Since</t>
  </si>
  <si>
    <t>Chair</t>
  </si>
  <si>
    <t>Profile</t>
  </si>
  <si>
    <t>HQ</t>
  </si>
  <si>
    <t>Founded</t>
  </si>
  <si>
    <t>IPO</t>
  </si>
  <si>
    <t>IR</t>
  </si>
  <si>
    <t>Update</t>
  </si>
  <si>
    <t>Valuation Metrics</t>
  </si>
  <si>
    <t>Key Events</t>
  </si>
  <si>
    <t>Link</t>
  </si>
  <si>
    <t>H124</t>
  </si>
  <si>
    <t>H224</t>
  </si>
  <si>
    <t>FY20</t>
  </si>
  <si>
    <t>FY21</t>
  </si>
  <si>
    <t>FY22</t>
  </si>
  <si>
    <t>FY23</t>
  </si>
  <si>
    <t>FY24</t>
  </si>
  <si>
    <t>FY19</t>
  </si>
  <si>
    <t>FY18</t>
  </si>
  <si>
    <t>H223</t>
  </si>
  <si>
    <t>H222</t>
  </si>
  <si>
    <t>H221</t>
  </si>
  <si>
    <t>H220</t>
  </si>
  <si>
    <t>H120</t>
  </si>
  <si>
    <t>H121</t>
  </si>
  <si>
    <t>H122</t>
  </si>
  <si>
    <t>H123</t>
  </si>
  <si>
    <t>Assessment &amp; Qualifications</t>
  </si>
  <si>
    <t>Virtual Learning</t>
  </si>
  <si>
    <t>Higher Education</t>
  </si>
  <si>
    <t>English Language Learning</t>
  </si>
  <si>
    <t>Workforce Skills</t>
  </si>
  <si>
    <t>Strategic Reviews</t>
  </si>
  <si>
    <t>Revenue</t>
  </si>
  <si>
    <t>COGS</t>
  </si>
  <si>
    <t>Gross Profit</t>
  </si>
  <si>
    <t>Operating Expenses</t>
  </si>
  <si>
    <t>Other Net Gains &amp; Losses</t>
  </si>
  <si>
    <t>Share of Results of JV</t>
  </si>
  <si>
    <t>Operating Income</t>
  </si>
  <si>
    <t>Finance Costs</t>
  </si>
  <si>
    <t>Finance Income</t>
  </si>
  <si>
    <t>Pretax Income</t>
  </si>
  <si>
    <t>Taxes</t>
  </si>
  <si>
    <t>Net Income</t>
  </si>
  <si>
    <t>EPS</t>
  </si>
  <si>
    <t>Gross Margin</t>
  </si>
  <si>
    <t>Operating Margin</t>
  </si>
  <si>
    <t>Net Margin</t>
  </si>
  <si>
    <t>Revenue Y/Y</t>
  </si>
  <si>
    <t>Revenue H/H</t>
  </si>
  <si>
    <t>Balance Sheet</t>
  </si>
  <si>
    <t>PP&amp;E</t>
  </si>
  <si>
    <t>Investment Property</t>
  </si>
  <si>
    <t>Intangibles</t>
  </si>
  <si>
    <t>Investments in JV</t>
  </si>
  <si>
    <t>Deferred Taxes</t>
  </si>
  <si>
    <t>Financial Assets</t>
  </si>
  <si>
    <t>Retirement Benefit</t>
  </si>
  <si>
    <t>Other Financial Assets</t>
  </si>
  <si>
    <t>Income Tax</t>
  </si>
  <si>
    <t>Trade &amp; A/R</t>
  </si>
  <si>
    <t>TNCA</t>
  </si>
  <si>
    <t>Inventories</t>
  </si>
  <si>
    <t>Current Income Tax</t>
  </si>
  <si>
    <t>Assets</t>
  </si>
  <si>
    <t>Borrowings</t>
  </si>
  <si>
    <t>Financial Instruments</t>
  </si>
  <si>
    <t>Deferred Income Tax</t>
  </si>
  <si>
    <t>Retirement Obligations</t>
  </si>
  <si>
    <t>Provisions</t>
  </si>
  <si>
    <t>Other Liabilities</t>
  </si>
  <si>
    <t>TNCL</t>
  </si>
  <si>
    <t>Trade &amp; OL</t>
  </si>
  <si>
    <t>Current Taxes</t>
  </si>
  <si>
    <t>Liabilities</t>
  </si>
  <si>
    <t>S/E</t>
  </si>
  <si>
    <t>S/E+L</t>
  </si>
  <si>
    <t>Book Value</t>
  </si>
  <si>
    <t>Book Value per Share</t>
  </si>
  <si>
    <t>P/B</t>
  </si>
  <si>
    <t>HY24</t>
  </si>
  <si>
    <t>London, UK</t>
  </si>
  <si>
    <t>P/S</t>
  </si>
  <si>
    <t>EV/S</t>
  </si>
  <si>
    <t>P/E</t>
  </si>
  <si>
    <t>EV/E</t>
  </si>
  <si>
    <t>Share Price</t>
  </si>
  <si>
    <t>Cashflow</t>
  </si>
  <si>
    <t>CFFO</t>
  </si>
  <si>
    <t>FCF</t>
  </si>
  <si>
    <t>CapEx</t>
  </si>
  <si>
    <t>FCF per Share</t>
  </si>
  <si>
    <t>Price / FCF</t>
  </si>
  <si>
    <t>P/FCF</t>
  </si>
  <si>
    <t>Held for Sale</t>
  </si>
  <si>
    <t>-</t>
  </si>
  <si>
    <t>H119</t>
  </si>
  <si>
    <t>H219</t>
  </si>
  <si>
    <t>Completed £500mn share buyback with 7% of shares bought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</si>
</sst>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\x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8"/>
      <color theme="1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2" borderId="4" xfId="0" applyFont="1" applyFill="1" applyBorder="1"/>
    <xf numFmtId="0" fontId="1" fillId="0" borderId="5" xfId="0" applyFont="1" applyBorder="1"/>
    <xf numFmtId="0" fontId="2" fillId="2" borderId="6" xfId="0" applyFont="1" applyFill="1" applyBorder="1"/>
    <xf numFmtId="0" fontId="1" fillId="0" borderId="8" xfId="0" applyFont="1" applyBorder="1"/>
    <xf numFmtId="3" fontId="1" fillId="0" borderId="0" xfId="0" applyNumberFormat="1" applyFont="1" applyBorder="1"/>
    <xf numFmtId="3" fontId="1" fillId="0" borderId="7" xfId="0" applyNumberFormat="1" applyFont="1" applyBorder="1"/>
    <xf numFmtId="4" fontId="1" fillId="0" borderId="0" xfId="0" applyNumberFormat="1" applyFont="1" applyBorder="1"/>
    <xf numFmtId="0" fontId="1" fillId="4" borderId="0" xfId="0" applyFont="1" applyFill="1"/>
    <xf numFmtId="0" fontId="1" fillId="4" borderId="4" xfId="0" applyFont="1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4" fillId="4" borderId="7" xfId="1" applyFont="1" applyFill="1" applyBorder="1" applyAlignment="1">
      <alignment horizontal="center"/>
    </xf>
    <xf numFmtId="0" fontId="4" fillId="4" borderId="8" xfId="1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5" borderId="0" xfId="0" applyFont="1" applyFill="1" applyAlignment="1">
      <alignment horizontal="right"/>
    </xf>
    <xf numFmtId="0" fontId="1" fillId="5" borderId="0" xfId="0" applyFont="1" applyFill="1"/>
    <xf numFmtId="0" fontId="5" fillId="0" borderId="0" xfId="0" applyFont="1" applyAlignment="1">
      <alignment horizontal="right"/>
    </xf>
    <xf numFmtId="0" fontId="5" fillId="5" borderId="0" xfId="0" applyFont="1" applyFill="1" applyAlignment="1">
      <alignment horizontal="right"/>
    </xf>
    <xf numFmtId="15" fontId="5" fillId="0" borderId="0" xfId="0" applyNumberFormat="1" applyFont="1" applyAlignment="1">
      <alignment horizontal="right"/>
    </xf>
    <xf numFmtId="0" fontId="4" fillId="0" borderId="0" xfId="1" applyFont="1" applyAlignment="1">
      <alignment horizontal="right"/>
    </xf>
    <xf numFmtId="0" fontId="2" fillId="5" borderId="0" xfId="0" applyFont="1" applyFill="1"/>
    <xf numFmtId="0" fontId="6" fillId="0" borderId="0" xfId="0" applyFont="1"/>
    <xf numFmtId="0" fontId="6" fillId="5" borderId="0" xfId="0" applyFont="1" applyFill="1"/>
    <xf numFmtId="3" fontId="2" fillId="0" borderId="0" xfId="0" applyNumberFormat="1" applyFont="1"/>
    <xf numFmtId="3" fontId="2" fillId="5" borderId="0" xfId="0" applyNumberFormat="1" applyFont="1" applyFill="1"/>
    <xf numFmtId="0" fontId="6" fillId="0" borderId="0" xfId="0" applyFont="1" applyAlignment="1">
      <alignment horizontal="left" indent="1"/>
    </xf>
    <xf numFmtId="3" fontId="1" fillId="0" borderId="0" xfId="0" applyNumberFormat="1" applyFont="1"/>
    <xf numFmtId="3" fontId="1" fillId="5" borderId="0" xfId="0" applyNumberFormat="1" applyFont="1" applyFill="1"/>
    <xf numFmtId="4" fontId="1" fillId="0" borderId="0" xfId="0" applyNumberFormat="1" applyFont="1"/>
    <xf numFmtId="4" fontId="1" fillId="5" borderId="0" xfId="0" applyNumberFormat="1" applyFont="1" applyFill="1"/>
    <xf numFmtId="9" fontId="2" fillId="0" borderId="0" xfId="0" applyNumberFormat="1" applyFont="1"/>
    <xf numFmtId="9" fontId="2" fillId="5" borderId="0" xfId="0" applyNumberFormat="1" applyFont="1" applyFill="1"/>
    <xf numFmtId="14" fontId="5" fillId="0" borderId="0" xfId="0" applyNumberFormat="1" applyFont="1" applyAlignment="1">
      <alignment horizontal="right"/>
    </xf>
    <xf numFmtId="9" fontId="1" fillId="0" borderId="0" xfId="0" applyNumberFormat="1" applyFont="1"/>
    <xf numFmtId="9" fontId="1" fillId="5" borderId="0" xfId="0" applyNumberFormat="1" applyFont="1" applyFill="1"/>
    <xf numFmtId="0" fontId="7" fillId="0" borderId="0" xfId="0" applyFont="1"/>
    <xf numFmtId="166" fontId="1" fillId="4" borderId="0" xfId="0" applyNumberFormat="1" applyFont="1" applyFill="1" applyBorder="1" applyAlignment="1">
      <alignment horizontal="center"/>
    </xf>
    <xf numFmtId="166" fontId="1" fillId="4" borderId="5" xfId="0" applyNumberFormat="1" applyFont="1" applyFill="1" applyBorder="1" applyAlignment="1">
      <alignment horizontal="center"/>
    </xf>
    <xf numFmtId="15" fontId="1" fillId="4" borderId="5" xfId="0" applyNumberFormat="1" applyFont="1" applyFill="1" applyBorder="1" applyAlignment="1">
      <alignment horizontal="center"/>
    </xf>
    <xf numFmtId="166" fontId="1" fillId="4" borderId="7" xfId="0" applyNumberFormat="1" applyFont="1" applyFill="1" applyBorder="1" applyAlignment="1">
      <alignment horizontal="center"/>
    </xf>
    <xf numFmtId="166" fontId="1" fillId="4" borderId="8" xfId="0" applyNumberFormat="1" applyFont="1" applyFill="1" applyBorder="1" applyAlignment="1">
      <alignment horizontal="center"/>
    </xf>
    <xf numFmtId="3" fontId="6" fillId="0" borderId="0" xfId="0" applyNumberFormat="1" applyFont="1"/>
    <xf numFmtId="3" fontId="6" fillId="5" borderId="0" xfId="0" applyNumberFormat="1" applyFont="1" applyFill="1"/>
    <xf numFmtId="14" fontId="5" fillId="5" borderId="0" xfId="0" applyNumberFormat="1" applyFont="1" applyFill="1" applyAlignment="1">
      <alignment horizontal="right"/>
    </xf>
    <xf numFmtId="15" fontId="5" fillId="5" borderId="0" xfId="0" applyNumberFormat="1" applyFont="1" applyFill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5" xfId="0" applyFont="1" applyBorder="1" applyAlignment="1">
      <alignment horizontal="right"/>
    </xf>
    <xf numFmtId="0" fontId="2" fillId="2" borderId="0" xfId="0" applyFont="1" applyFill="1" applyAlignment="1">
      <alignment horizontal="center"/>
    </xf>
    <xf numFmtId="17" fontId="2" fillId="2" borderId="0" xfId="0" applyNumberFormat="1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0</xdr:row>
      <xdr:rowOff>0</xdr:rowOff>
    </xdr:from>
    <xdr:to>
      <xdr:col>13</xdr:col>
      <xdr:colOff>19050</xdr:colOff>
      <xdr:row>130</xdr:row>
      <xdr:rowOff>133350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3F8A77B-9D7C-452D-8744-66C66AC9441C}"/>
            </a:ext>
          </a:extLst>
        </xdr:cNvPr>
        <xdr:cNvCxnSpPr/>
      </xdr:nvCxnSpPr>
      <xdr:spPr>
        <a:xfrm>
          <a:off x="8153400" y="0"/>
          <a:ext cx="0" cy="210216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plc.pearson.com/en-GB/investors/performance/results-reports-presentation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plc.pearson.com/sites/pearson-corp/files/2022-07/pearson-2022-interim-results-press-release-final-1-august-2022.pdf" TargetMode="External"/><Relationship Id="rId2" Type="http://schemas.openxmlformats.org/officeDocument/2006/relationships/hyperlink" Target="https://plc.pearson.com/sites/pearson-corp/files/2024-03/Pearson-2023-Full-Year-Results-Press-Release_1-March-2024.pdf" TargetMode="External"/><Relationship Id="rId1" Type="http://schemas.openxmlformats.org/officeDocument/2006/relationships/hyperlink" Target="https://plc.pearson.com/sites/pearson-corp/files/2024-07/pearson-2024-interim-results-press-release_29_july_2024_FINAL.pdf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plc.pearson.com/sites/pearson-corp/files/pearson/investors/results-presentations/pearson-2021-full-year-results--press-releas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F4DE7-41A5-4FAA-A395-E2E90DCAAF76}">
  <dimension ref="A3:N40"/>
  <sheetViews>
    <sheetView tabSelected="1" workbookViewId="0">
      <selection activeCell="H11" sqref="H11"/>
    </sheetView>
  </sheetViews>
  <sheetFormatPr defaultRowHeight="12.75" x14ac:dyDescent="0.2"/>
  <cols>
    <col min="1" max="16384" width="9.140625" style="1"/>
  </cols>
  <sheetData>
    <row r="3" spans="2:14" x14ac:dyDescent="0.2">
      <c r="B3" s="2" t="s">
        <v>0</v>
      </c>
    </row>
    <row r="4" spans="2:14" x14ac:dyDescent="0.2">
      <c r="B4" s="2" t="s">
        <v>1</v>
      </c>
    </row>
    <row r="6" spans="2:14" x14ac:dyDescent="0.2">
      <c r="B6" s="4" t="s">
        <v>2</v>
      </c>
      <c r="C6" s="5"/>
      <c r="D6" s="6"/>
      <c r="G6" s="3" t="s">
        <v>21</v>
      </c>
      <c r="H6" s="3"/>
      <c r="I6" s="3"/>
      <c r="J6" s="3"/>
      <c r="K6" s="3"/>
      <c r="L6" s="3"/>
      <c r="M6" s="3"/>
      <c r="N6" s="3"/>
    </row>
    <row r="7" spans="2:14" x14ac:dyDescent="0.2">
      <c r="B7" s="7" t="s">
        <v>3</v>
      </c>
      <c r="C7" s="13">
        <v>11.755000000000001</v>
      </c>
      <c r="D7" s="8"/>
      <c r="G7" s="64"/>
      <c r="H7" s="14"/>
      <c r="I7" s="14"/>
      <c r="J7" s="14"/>
      <c r="K7" s="14"/>
      <c r="L7" s="14"/>
      <c r="M7" s="14"/>
      <c r="N7" s="14"/>
    </row>
    <row r="8" spans="2:14" x14ac:dyDescent="0.2">
      <c r="B8" s="7" t="s">
        <v>4</v>
      </c>
      <c r="C8" s="11">
        <f>+'Financial Model'!M23</f>
        <v>680.5</v>
      </c>
      <c r="D8" s="63" t="str">
        <f>+$C$30</f>
        <v>HY24</v>
      </c>
      <c r="G8" s="64"/>
      <c r="H8" s="14"/>
      <c r="I8" s="14"/>
      <c r="J8" s="14"/>
      <c r="K8" s="14"/>
      <c r="L8" s="14"/>
      <c r="M8" s="14"/>
      <c r="N8" s="14"/>
    </row>
    <row r="9" spans="2:14" x14ac:dyDescent="0.2">
      <c r="B9" s="7" t="s">
        <v>5</v>
      </c>
      <c r="C9" s="11">
        <f>C7*C8</f>
        <v>7999.2775000000001</v>
      </c>
      <c r="D9" s="8"/>
      <c r="G9" s="64"/>
      <c r="H9" s="14"/>
      <c r="I9" s="14"/>
      <c r="J9" s="14"/>
      <c r="K9" s="14"/>
      <c r="L9" s="14"/>
      <c r="M9" s="14"/>
      <c r="N9" s="14"/>
    </row>
    <row r="10" spans="2:14" x14ac:dyDescent="0.2">
      <c r="B10" s="7" t="s">
        <v>6</v>
      </c>
      <c r="C10" s="11">
        <f>+'Financial Model'!M77</f>
        <v>618</v>
      </c>
      <c r="D10" s="63" t="str">
        <f t="shared" ref="D10:D12" si="0">+$C$30</f>
        <v>HY24</v>
      </c>
      <c r="G10" s="64"/>
      <c r="H10" s="14"/>
      <c r="I10" s="14"/>
      <c r="J10" s="14"/>
      <c r="K10" s="14"/>
      <c r="L10" s="14"/>
      <c r="M10" s="14"/>
      <c r="N10" s="14"/>
    </row>
    <row r="11" spans="2:14" x14ac:dyDescent="0.2">
      <c r="B11" s="7" t="s">
        <v>7</v>
      </c>
      <c r="C11" s="11">
        <f>+'Financial Model'!M78</f>
        <v>1660</v>
      </c>
      <c r="D11" s="63" t="str">
        <f t="shared" si="0"/>
        <v>HY24</v>
      </c>
      <c r="G11" s="65">
        <v>45566</v>
      </c>
      <c r="H11" s="14" t="s">
        <v>112</v>
      </c>
      <c r="I11" s="14"/>
      <c r="J11" s="14"/>
      <c r="K11" s="14"/>
      <c r="L11" s="14"/>
      <c r="M11" s="14"/>
      <c r="N11" s="14"/>
    </row>
    <row r="12" spans="2:14" x14ac:dyDescent="0.2">
      <c r="B12" s="7" t="s">
        <v>8</v>
      </c>
      <c r="C12" s="11">
        <f>C10-C11</f>
        <v>-1042</v>
      </c>
      <c r="D12" s="63" t="str">
        <f t="shared" si="0"/>
        <v>HY24</v>
      </c>
      <c r="G12" s="64"/>
      <c r="H12" s="14"/>
      <c r="I12" s="14"/>
      <c r="J12" s="14"/>
      <c r="K12" s="14"/>
      <c r="L12" s="14"/>
      <c r="M12" s="14"/>
      <c r="N12" s="14"/>
    </row>
    <row r="13" spans="2:14" x14ac:dyDescent="0.2">
      <c r="B13" s="9" t="s">
        <v>9</v>
      </c>
      <c r="C13" s="12">
        <f>C9-C12</f>
        <v>9041.2775000000001</v>
      </c>
      <c r="D13" s="10"/>
      <c r="G13" s="64"/>
      <c r="H13" s="14"/>
      <c r="I13" s="14"/>
      <c r="J13" s="14"/>
      <c r="K13" s="14"/>
      <c r="L13" s="14"/>
      <c r="M13" s="14"/>
      <c r="N13" s="14"/>
    </row>
    <row r="14" spans="2:14" x14ac:dyDescent="0.2">
      <c r="G14" s="64"/>
      <c r="H14" s="14"/>
      <c r="I14" s="14"/>
      <c r="J14" s="14"/>
      <c r="K14" s="14"/>
      <c r="L14" s="14"/>
      <c r="M14" s="14"/>
      <c r="N14" s="14"/>
    </row>
    <row r="15" spans="2:14" x14ac:dyDescent="0.2">
      <c r="G15" s="64"/>
      <c r="H15" s="14"/>
      <c r="I15" s="14"/>
      <c r="J15" s="14"/>
      <c r="K15" s="14"/>
      <c r="L15" s="14"/>
      <c r="M15" s="14"/>
      <c r="N15" s="14"/>
    </row>
    <row r="16" spans="2:14" x14ac:dyDescent="0.2">
      <c r="B16" s="4" t="s">
        <v>10</v>
      </c>
      <c r="C16" s="5"/>
      <c r="D16" s="6"/>
      <c r="G16" s="64"/>
      <c r="H16" s="14"/>
      <c r="I16" s="14"/>
      <c r="J16" s="14"/>
      <c r="K16" s="14"/>
      <c r="L16" s="14"/>
      <c r="M16" s="14"/>
      <c r="N16" s="14"/>
    </row>
    <row r="17" spans="1:14" x14ac:dyDescent="0.2">
      <c r="A17" s="1" t="s">
        <v>12</v>
      </c>
      <c r="B17" s="15" t="s">
        <v>11</v>
      </c>
      <c r="C17" s="16"/>
      <c r="D17" s="17"/>
      <c r="G17" s="64"/>
      <c r="H17" s="14"/>
      <c r="I17" s="14"/>
      <c r="J17" s="14"/>
      <c r="K17" s="14"/>
      <c r="L17" s="14"/>
      <c r="M17" s="14"/>
      <c r="N17" s="14"/>
    </row>
    <row r="18" spans="1:14" x14ac:dyDescent="0.2">
      <c r="B18" s="15"/>
      <c r="C18" s="16"/>
      <c r="D18" s="17"/>
      <c r="G18" s="64"/>
      <c r="H18" s="14"/>
      <c r="I18" s="14"/>
      <c r="J18" s="14"/>
      <c r="K18" s="14"/>
      <c r="L18" s="14"/>
      <c r="M18" s="14"/>
      <c r="N18" s="14"/>
    </row>
    <row r="19" spans="1:14" x14ac:dyDescent="0.2">
      <c r="B19" s="15"/>
      <c r="C19" s="16"/>
      <c r="D19" s="17"/>
      <c r="G19" s="64"/>
      <c r="H19" s="14"/>
      <c r="I19" s="14"/>
      <c r="J19" s="14"/>
      <c r="K19" s="14"/>
      <c r="L19" s="14"/>
      <c r="M19" s="14"/>
      <c r="N19" s="14"/>
    </row>
    <row r="20" spans="1:14" x14ac:dyDescent="0.2">
      <c r="B20" s="18" t="s">
        <v>13</v>
      </c>
      <c r="C20" s="19"/>
      <c r="D20" s="20"/>
      <c r="G20" s="64"/>
      <c r="H20" s="14"/>
      <c r="I20" s="14"/>
      <c r="J20" s="14"/>
      <c r="K20" s="14"/>
      <c r="L20" s="14"/>
      <c r="M20" s="14"/>
      <c r="N20" s="14"/>
    </row>
    <row r="21" spans="1:14" x14ac:dyDescent="0.2">
      <c r="G21" s="64"/>
      <c r="H21" s="14"/>
      <c r="I21" s="14"/>
      <c r="J21" s="14"/>
      <c r="K21" s="14"/>
      <c r="L21" s="14"/>
      <c r="M21" s="14"/>
      <c r="N21" s="14"/>
    </row>
    <row r="22" spans="1:14" x14ac:dyDescent="0.2">
      <c r="G22" s="64"/>
      <c r="H22" s="14"/>
      <c r="I22" s="14"/>
      <c r="J22" s="14"/>
      <c r="K22" s="14"/>
      <c r="L22" s="14"/>
      <c r="M22" s="14"/>
      <c r="N22" s="14"/>
    </row>
    <row r="23" spans="1:14" x14ac:dyDescent="0.2">
      <c r="B23" s="4" t="s">
        <v>14</v>
      </c>
      <c r="C23" s="5"/>
      <c r="D23" s="6"/>
      <c r="G23" s="64"/>
      <c r="H23" s="14"/>
      <c r="I23" s="14"/>
      <c r="J23" s="14"/>
      <c r="K23" s="14"/>
      <c r="L23" s="14"/>
      <c r="M23" s="14"/>
      <c r="N23" s="14"/>
    </row>
    <row r="24" spans="1:14" x14ac:dyDescent="0.2">
      <c r="B24" s="25" t="s">
        <v>15</v>
      </c>
      <c r="C24" s="23" t="s">
        <v>95</v>
      </c>
      <c r="D24" s="24"/>
      <c r="G24" s="64"/>
      <c r="H24" s="14"/>
      <c r="I24" s="14"/>
      <c r="J24" s="14"/>
      <c r="K24" s="14"/>
      <c r="L24" s="14"/>
      <c r="M24" s="14"/>
      <c r="N24" s="14"/>
    </row>
    <row r="25" spans="1:14" x14ac:dyDescent="0.2">
      <c r="B25" s="25" t="s">
        <v>16</v>
      </c>
      <c r="C25" s="23">
        <v>1844</v>
      </c>
      <c r="D25" s="24"/>
      <c r="G25" s="64"/>
      <c r="H25" s="14"/>
      <c r="I25" s="14"/>
      <c r="J25" s="14"/>
      <c r="K25" s="14"/>
      <c r="L25" s="14"/>
      <c r="M25" s="14"/>
      <c r="N25" s="14"/>
    </row>
    <row r="26" spans="1:14" x14ac:dyDescent="0.2">
      <c r="B26" s="25" t="s">
        <v>17</v>
      </c>
      <c r="C26" s="23"/>
      <c r="D26" s="24"/>
      <c r="G26" s="64"/>
      <c r="H26" s="14"/>
      <c r="I26" s="14"/>
      <c r="J26" s="14"/>
      <c r="K26" s="14"/>
      <c r="L26" s="14"/>
      <c r="M26" s="14"/>
      <c r="N26" s="14"/>
    </row>
    <row r="27" spans="1:14" x14ac:dyDescent="0.2">
      <c r="B27" s="25"/>
      <c r="C27" s="23"/>
      <c r="D27" s="24"/>
      <c r="G27" s="64"/>
      <c r="H27" s="14"/>
      <c r="I27" s="14"/>
      <c r="J27" s="14"/>
      <c r="K27" s="14"/>
      <c r="L27" s="14"/>
      <c r="M27" s="14"/>
      <c r="N27" s="14"/>
    </row>
    <row r="28" spans="1:14" x14ac:dyDescent="0.2">
      <c r="B28" s="25"/>
      <c r="C28" s="23"/>
      <c r="D28" s="24"/>
      <c r="G28" s="64"/>
      <c r="H28" s="14"/>
      <c r="I28" s="14"/>
      <c r="J28" s="14"/>
      <c r="K28" s="14"/>
      <c r="L28" s="14"/>
      <c r="M28" s="14"/>
      <c r="N28" s="14"/>
    </row>
    <row r="29" spans="1:14" x14ac:dyDescent="0.2">
      <c r="B29" s="25"/>
      <c r="C29" s="21"/>
      <c r="D29" s="22"/>
      <c r="G29" s="64"/>
      <c r="H29" s="14"/>
      <c r="I29" s="14"/>
      <c r="J29" s="14"/>
      <c r="K29" s="14"/>
      <c r="L29" s="14"/>
      <c r="M29" s="14"/>
      <c r="N29" s="14"/>
    </row>
    <row r="30" spans="1:14" x14ac:dyDescent="0.2">
      <c r="B30" s="25" t="s">
        <v>19</v>
      </c>
      <c r="C30" s="21" t="s">
        <v>94</v>
      </c>
      <c r="D30" s="55">
        <f>+'Financial Model'!M3</f>
        <v>45502</v>
      </c>
      <c r="G30" s="64"/>
      <c r="H30" s="14"/>
      <c r="I30" s="14"/>
      <c r="J30" s="14"/>
      <c r="K30" s="14"/>
      <c r="L30" s="14"/>
      <c r="M30" s="14"/>
      <c r="N30" s="14"/>
    </row>
    <row r="31" spans="1:14" x14ac:dyDescent="0.2">
      <c r="B31" s="26" t="s">
        <v>18</v>
      </c>
      <c r="C31" s="27" t="s">
        <v>22</v>
      </c>
      <c r="D31" s="28"/>
      <c r="G31" s="64"/>
      <c r="H31" s="14"/>
      <c r="I31" s="14"/>
      <c r="J31" s="14"/>
      <c r="K31" s="14"/>
      <c r="L31" s="14"/>
      <c r="M31" s="14"/>
      <c r="N31" s="14"/>
    </row>
    <row r="34" spans="2:4" x14ac:dyDescent="0.2">
      <c r="B34" s="4" t="s">
        <v>20</v>
      </c>
      <c r="C34" s="5"/>
      <c r="D34" s="6"/>
    </row>
    <row r="35" spans="2:4" x14ac:dyDescent="0.2">
      <c r="B35" s="25" t="s">
        <v>93</v>
      </c>
      <c r="C35" s="53">
        <f>+C7/'Financial Model'!M75</f>
        <v>2.0989969824193127</v>
      </c>
      <c r="D35" s="54"/>
    </row>
    <row r="36" spans="2:4" x14ac:dyDescent="0.2">
      <c r="B36" s="25" t="s">
        <v>96</v>
      </c>
      <c r="C36" s="53">
        <f>+C9/SUM('Financial Model'!L10:M10)</f>
        <v>2.2539525218371375</v>
      </c>
      <c r="D36" s="54"/>
    </row>
    <row r="37" spans="2:4" x14ac:dyDescent="0.2">
      <c r="B37" s="25" t="s">
        <v>97</v>
      </c>
      <c r="C37" s="53">
        <f>+C13/SUM('Financial Model'!L10:M10)</f>
        <v>2.5475563539025079</v>
      </c>
      <c r="D37" s="54"/>
    </row>
    <row r="38" spans="2:4" x14ac:dyDescent="0.2">
      <c r="B38" s="25" t="s">
        <v>98</v>
      </c>
      <c r="C38" s="53">
        <f>+C7/SUM('Financial Model'!L22:M22)</f>
        <v>23.349350640093373</v>
      </c>
      <c r="D38" s="54"/>
    </row>
    <row r="39" spans="2:4" x14ac:dyDescent="0.2">
      <c r="B39" s="25" t="s">
        <v>99</v>
      </c>
      <c r="C39" s="53">
        <f>+C13/SUM('Financial Model'!L21:M21)</f>
        <v>25.758625356125357</v>
      </c>
      <c r="D39" s="54"/>
    </row>
    <row r="40" spans="2:4" x14ac:dyDescent="0.2">
      <c r="B40" s="26" t="s">
        <v>107</v>
      </c>
      <c r="C40" s="56">
        <f>+C7/'Financial Model'!M97</f>
        <v>47.899865269461081</v>
      </c>
      <c r="D40" s="57"/>
    </row>
  </sheetData>
  <mergeCells count="17">
    <mergeCell ref="C36:D36"/>
    <mergeCell ref="C37:D37"/>
    <mergeCell ref="C38:D38"/>
    <mergeCell ref="C39:D39"/>
    <mergeCell ref="C40:D40"/>
    <mergeCell ref="G6:N6"/>
    <mergeCell ref="C27:D27"/>
    <mergeCell ref="C28:D28"/>
    <mergeCell ref="C31:D31"/>
    <mergeCell ref="B34:D34"/>
    <mergeCell ref="C35:D35"/>
    <mergeCell ref="B6:D6"/>
    <mergeCell ref="B16:D16"/>
    <mergeCell ref="B23:D23"/>
    <mergeCell ref="C24:D24"/>
    <mergeCell ref="C25:D25"/>
    <mergeCell ref="C26:D26"/>
  </mergeCells>
  <hyperlinks>
    <hyperlink ref="C31:D31" r:id="rId1" display="Link" xr:uid="{EF52E346-E8EA-4399-B715-8990042F6DF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CAE14-7C91-4C67-AC4D-81E77926E26B}">
  <dimension ref="B1:W98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M12" sqref="M12"/>
    </sheetView>
  </sheetViews>
  <sheetFormatPr defaultRowHeight="12.75" x14ac:dyDescent="0.2"/>
  <cols>
    <col min="1" max="1" width="4.28515625" style="1" customWidth="1"/>
    <col min="2" max="2" width="26.28515625" style="1" bestFit="1" customWidth="1"/>
    <col min="3" max="3" width="9.140625" style="1"/>
    <col min="4" max="4" width="9.140625" style="32"/>
    <col min="5" max="5" width="9.140625" style="1"/>
    <col min="6" max="6" width="9.140625" style="32"/>
    <col min="7" max="7" width="9.140625" style="1"/>
    <col min="8" max="8" width="9.140625" style="32"/>
    <col min="9" max="9" width="9.140625" style="1"/>
    <col min="10" max="10" width="9.140625" style="32"/>
    <col min="11" max="11" width="9.140625" style="1"/>
    <col min="12" max="12" width="9.140625" style="32"/>
    <col min="13" max="13" width="9.140625" style="1"/>
    <col min="14" max="14" width="9.140625" style="32"/>
    <col min="15" max="16384" width="9.140625" style="1"/>
  </cols>
  <sheetData>
    <row r="1" spans="2:23" s="30" customFormat="1" x14ac:dyDescent="0.2">
      <c r="C1" s="30" t="s">
        <v>110</v>
      </c>
      <c r="D1" s="31" t="s">
        <v>111</v>
      </c>
      <c r="E1" s="30" t="s">
        <v>36</v>
      </c>
      <c r="F1" s="31" t="s">
        <v>35</v>
      </c>
      <c r="G1" s="30" t="s">
        <v>37</v>
      </c>
      <c r="H1" s="31" t="s">
        <v>34</v>
      </c>
      <c r="I1" s="36" t="s">
        <v>38</v>
      </c>
      <c r="J1" s="31" t="s">
        <v>33</v>
      </c>
      <c r="K1" s="30" t="s">
        <v>39</v>
      </c>
      <c r="L1" s="31" t="s">
        <v>32</v>
      </c>
      <c r="M1" s="36" t="s">
        <v>23</v>
      </c>
      <c r="N1" s="31" t="s">
        <v>24</v>
      </c>
      <c r="Q1" s="30" t="s">
        <v>31</v>
      </c>
      <c r="R1" s="30" t="s">
        <v>30</v>
      </c>
      <c r="S1" s="30" t="s">
        <v>25</v>
      </c>
      <c r="T1" s="36" t="s">
        <v>26</v>
      </c>
      <c r="U1" s="30" t="s">
        <v>27</v>
      </c>
      <c r="V1" s="36" t="s">
        <v>28</v>
      </c>
      <c r="W1" s="30" t="s">
        <v>29</v>
      </c>
    </row>
    <row r="2" spans="2:23" s="33" customFormat="1" x14ac:dyDescent="0.2">
      <c r="B2" s="29"/>
      <c r="D2" s="34"/>
      <c r="F2" s="34"/>
      <c r="G2" s="49">
        <v>44377</v>
      </c>
      <c r="H2" s="60">
        <f>+T2</f>
        <v>44561</v>
      </c>
      <c r="I2" s="49">
        <v>44742</v>
      </c>
      <c r="J2" s="60">
        <f>+U2</f>
        <v>44926</v>
      </c>
      <c r="K2" s="49">
        <v>45107</v>
      </c>
      <c r="L2" s="60">
        <f>+V2</f>
        <v>45291</v>
      </c>
      <c r="M2" s="49">
        <v>45473</v>
      </c>
      <c r="N2" s="34"/>
      <c r="S2" s="49">
        <v>44196</v>
      </c>
      <c r="T2" s="49">
        <v>44561</v>
      </c>
      <c r="U2" s="49">
        <v>44926</v>
      </c>
      <c r="V2" s="49">
        <v>45291</v>
      </c>
    </row>
    <row r="3" spans="2:23" s="33" customFormat="1" x14ac:dyDescent="0.2">
      <c r="B3" s="29"/>
      <c r="D3" s="34"/>
      <c r="F3" s="34"/>
      <c r="H3" s="61">
        <f>+T3</f>
        <v>44617</v>
      </c>
      <c r="I3" s="35">
        <v>45505</v>
      </c>
      <c r="J3" s="34"/>
      <c r="L3" s="61">
        <f>+V3</f>
        <v>45352</v>
      </c>
      <c r="M3" s="35">
        <v>45502</v>
      </c>
      <c r="N3" s="34"/>
      <c r="T3" s="35">
        <v>44617</v>
      </c>
      <c r="V3" s="35">
        <v>45352</v>
      </c>
    </row>
    <row r="4" spans="2:23" s="38" customFormat="1" x14ac:dyDescent="0.2">
      <c r="B4" s="42" t="s">
        <v>40</v>
      </c>
      <c r="D4" s="39"/>
      <c r="F4" s="39"/>
      <c r="G4" s="38">
        <v>573</v>
      </c>
      <c r="H4" s="59">
        <f>+T4-G4</f>
        <v>631</v>
      </c>
      <c r="I4" s="38">
        <v>697</v>
      </c>
      <c r="J4" s="59">
        <f>+U4-I4</f>
        <v>747</v>
      </c>
      <c r="K4" s="38">
        <v>796</v>
      </c>
      <c r="L4" s="59">
        <f>+V4-K4</f>
        <v>763</v>
      </c>
      <c r="M4" s="38">
        <v>811</v>
      </c>
      <c r="N4" s="39"/>
      <c r="Q4" s="58"/>
      <c r="R4" s="58"/>
      <c r="S4" s="58">
        <v>1082</v>
      </c>
      <c r="T4" s="58">
        <v>1204</v>
      </c>
      <c r="U4" s="58">
        <v>1444</v>
      </c>
      <c r="V4" s="58">
        <v>1559</v>
      </c>
    </row>
    <row r="5" spans="2:23" s="38" customFormat="1" x14ac:dyDescent="0.2">
      <c r="B5" s="42" t="s">
        <v>41</v>
      </c>
      <c r="D5" s="39"/>
      <c r="F5" s="39"/>
      <c r="G5" s="38">
        <v>353</v>
      </c>
      <c r="H5" s="59">
        <f t="shared" ref="H5:H9" si="0">+T5-G5</f>
        <v>360</v>
      </c>
      <c r="I5" s="38">
        <v>390</v>
      </c>
      <c r="J5" s="59">
        <f t="shared" ref="J5:J9" si="1">+U5-I5</f>
        <v>430</v>
      </c>
      <c r="K5" s="38">
        <v>373</v>
      </c>
      <c r="L5" s="59">
        <f>+V5-K5</f>
        <v>243</v>
      </c>
      <c r="M5" s="38">
        <v>254</v>
      </c>
      <c r="N5" s="39"/>
      <c r="Q5" s="58"/>
      <c r="R5" s="58"/>
      <c r="S5" s="58">
        <v>692</v>
      </c>
      <c r="T5" s="58">
        <v>713</v>
      </c>
      <c r="U5" s="58">
        <v>820</v>
      </c>
      <c r="V5" s="58">
        <v>616</v>
      </c>
    </row>
    <row r="6" spans="2:23" s="38" customFormat="1" x14ac:dyDescent="0.2">
      <c r="B6" s="42" t="s">
        <v>42</v>
      </c>
      <c r="D6" s="39"/>
      <c r="F6" s="39"/>
      <c r="G6" s="38">
        <v>94</v>
      </c>
      <c r="H6" s="59">
        <f t="shared" si="0"/>
        <v>144</v>
      </c>
      <c r="I6" s="38">
        <v>122</v>
      </c>
      <c r="J6" s="59">
        <f t="shared" si="1"/>
        <v>776</v>
      </c>
      <c r="K6" s="38">
        <v>379</v>
      </c>
      <c r="L6" s="59">
        <f>+V6-K6</f>
        <v>476</v>
      </c>
      <c r="M6" s="38">
        <v>358</v>
      </c>
      <c r="N6" s="39"/>
      <c r="Q6" s="58"/>
      <c r="R6" s="58"/>
      <c r="S6" s="58">
        <v>218</v>
      </c>
      <c r="T6" s="58">
        <v>238</v>
      </c>
      <c r="U6" s="58">
        <v>898</v>
      </c>
      <c r="V6" s="58">
        <v>855</v>
      </c>
    </row>
    <row r="7" spans="2:23" s="38" customFormat="1" x14ac:dyDescent="0.2">
      <c r="B7" s="42" t="s">
        <v>43</v>
      </c>
      <c r="D7" s="39"/>
      <c r="F7" s="39"/>
      <c r="G7" s="38">
        <v>112</v>
      </c>
      <c r="H7" s="59">
        <f t="shared" si="0"/>
        <v>60</v>
      </c>
      <c r="I7" s="38">
        <v>127</v>
      </c>
      <c r="J7" s="59">
        <f t="shared" si="1"/>
        <v>194</v>
      </c>
      <c r="K7" s="38">
        <v>184</v>
      </c>
      <c r="L7" s="59">
        <f>+V7-K7</f>
        <v>231</v>
      </c>
      <c r="M7" s="38">
        <v>188</v>
      </c>
      <c r="N7" s="39"/>
      <c r="Q7" s="58"/>
      <c r="R7" s="58"/>
      <c r="S7" s="58">
        <v>163</v>
      </c>
      <c r="T7" s="58">
        <v>172</v>
      </c>
      <c r="U7" s="58">
        <v>321</v>
      </c>
      <c r="V7" s="58">
        <v>415</v>
      </c>
    </row>
    <row r="8" spans="2:23" s="38" customFormat="1" x14ac:dyDescent="0.2">
      <c r="B8" s="42" t="s">
        <v>44</v>
      </c>
      <c r="D8" s="39"/>
      <c r="F8" s="39"/>
      <c r="G8" s="38">
        <v>365</v>
      </c>
      <c r="H8" s="59">
        <f t="shared" si="0"/>
        <v>484</v>
      </c>
      <c r="I8" s="38">
        <v>373</v>
      </c>
      <c r="J8" s="59">
        <f t="shared" si="1"/>
        <v>-169</v>
      </c>
      <c r="K8" s="38">
        <v>140</v>
      </c>
      <c r="L8" s="59">
        <f>+V8-K8</f>
        <v>80</v>
      </c>
      <c r="M8" s="38">
        <v>143</v>
      </c>
      <c r="N8" s="39"/>
      <c r="Q8" s="58"/>
      <c r="R8" s="58"/>
      <c r="S8" s="58">
        <v>956</v>
      </c>
      <c r="T8" s="58">
        <v>849</v>
      </c>
      <c r="U8" s="58">
        <v>204</v>
      </c>
      <c r="V8" s="58">
        <v>220</v>
      </c>
    </row>
    <row r="9" spans="2:23" s="38" customFormat="1" x14ac:dyDescent="0.2">
      <c r="B9" s="42" t="s">
        <v>45</v>
      </c>
      <c r="D9" s="39"/>
      <c r="F9" s="39"/>
      <c r="G9" s="38">
        <v>100</v>
      </c>
      <c r="H9" s="59">
        <f t="shared" si="0"/>
        <v>152</v>
      </c>
      <c r="I9" s="38">
        <v>79</v>
      </c>
      <c r="J9" s="59">
        <f t="shared" si="1"/>
        <v>75</v>
      </c>
      <c r="K9" s="38">
        <v>7</v>
      </c>
      <c r="L9" s="59">
        <f>+V9-K9</f>
        <v>2</v>
      </c>
      <c r="M9" s="38">
        <v>0</v>
      </c>
      <c r="N9" s="39"/>
      <c r="Q9" s="58"/>
      <c r="R9" s="58"/>
      <c r="S9" s="58">
        <v>286</v>
      </c>
      <c r="T9" s="58">
        <v>252</v>
      </c>
      <c r="U9" s="58">
        <v>154</v>
      </c>
      <c r="V9" s="58">
        <v>9</v>
      </c>
    </row>
    <row r="10" spans="2:23" s="40" customFormat="1" x14ac:dyDescent="0.2">
      <c r="B10" s="40" t="s">
        <v>46</v>
      </c>
      <c r="D10" s="41"/>
      <c r="F10" s="41"/>
      <c r="G10" s="40">
        <f>+SUM(G4:G9)</f>
        <v>1597</v>
      </c>
      <c r="H10" s="41">
        <f>+SUM(H4:H9)</f>
        <v>1831</v>
      </c>
      <c r="I10" s="40">
        <f>+SUM(I4:I9)</f>
        <v>1788</v>
      </c>
      <c r="J10" s="41">
        <f>+SUM(J4:J9)</f>
        <v>2053</v>
      </c>
      <c r="K10" s="40">
        <f>+SUM(K4:K9)</f>
        <v>1879</v>
      </c>
      <c r="L10" s="41">
        <f>+SUM(L4:L9)</f>
        <v>1795</v>
      </c>
      <c r="M10" s="40">
        <f>+SUM(M4:M9)</f>
        <v>1754</v>
      </c>
      <c r="N10" s="41">
        <f>+L10*(1+N25)</f>
        <v>1705.25</v>
      </c>
      <c r="S10" s="40">
        <f t="shared" ref="S10" si="2">+SUM(S4:S9)</f>
        <v>3397</v>
      </c>
      <c r="T10" s="40">
        <f>+SUM(T4:T9)</f>
        <v>3428</v>
      </c>
      <c r="U10" s="40">
        <f>+SUM(U4:U9)</f>
        <v>3841</v>
      </c>
      <c r="V10" s="40">
        <f>+SUM(V4:V9)</f>
        <v>3674</v>
      </c>
    </row>
    <row r="11" spans="2:23" x14ac:dyDescent="0.2">
      <c r="B11" s="1" t="s">
        <v>47</v>
      </c>
      <c r="G11" s="1">
        <v>838</v>
      </c>
      <c r="H11" s="44">
        <f>+T11-G11</f>
        <v>909</v>
      </c>
      <c r="I11" s="1">
        <v>963</v>
      </c>
      <c r="J11" s="44">
        <f>+U11-I11</f>
        <v>1083</v>
      </c>
      <c r="K11" s="1">
        <v>960</v>
      </c>
      <c r="L11" s="44">
        <f>+V11-K11</f>
        <v>879</v>
      </c>
      <c r="M11" s="1">
        <v>875</v>
      </c>
      <c r="Q11" s="43"/>
      <c r="R11" s="43"/>
      <c r="S11" s="43">
        <v>1767</v>
      </c>
      <c r="T11" s="43">
        <v>1747</v>
      </c>
      <c r="U11" s="43">
        <v>2046</v>
      </c>
      <c r="V11" s="43">
        <v>1839</v>
      </c>
    </row>
    <row r="12" spans="2:23" s="2" customFormat="1" x14ac:dyDescent="0.2">
      <c r="B12" s="2" t="s">
        <v>48</v>
      </c>
      <c r="D12" s="37"/>
      <c r="F12" s="37"/>
      <c r="G12" s="40">
        <f>+G10-G11</f>
        <v>759</v>
      </c>
      <c r="H12" s="41">
        <f>+H10-H11</f>
        <v>922</v>
      </c>
      <c r="I12" s="40">
        <f>+I10-I11</f>
        <v>825</v>
      </c>
      <c r="J12" s="41">
        <f>+J10-J11</f>
        <v>970</v>
      </c>
      <c r="K12" s="40">
        <f>+K10-K11</f>
        <v>919</v>
      </c>
      <c r="L12" s="41">
        <f>+L10-L11</f>
        <v>916</v>
      </c>
      <c r="M12" s="40">
        <f>+M10-M11</f>
        <v>879</v>
      </c>
      <c r="N12" s="37"/>
      <c r="Q12" s="40"/>
      <c r="R12" s="40"/>
      <c r="S12" s="40">
        <f>+S10-S11</f>
        <v>1630</v>
      </c>
      <c r="T12" s="40">
        <f>+T10-T11</f>
        <v>1681</v>
      </c>
      <c r="U12" s="40">
        <f>+U10-U11</f>
        <v>1795</v>
      </c>
      <c r="V12" s="40">
        <f>+V10-V11</f>
        <v>1835</v>
      </c>
    </row>
    <row r="13" spans="2:23" x14ac:dyDescent="0.2">
      <c r="B13" s="1" t="s">
        <v>49</v>
      </c>
      <c r="G13" s="1">
        <v>744</v>
      </c>
      <c r="H13" s="44">
        <f t="shared" ref="H13:H15" si="3">+T13-G13</f>
        <v>818</v>
      </c>
      <c r="I13" s="1">
        <v>690</v>
      </c>
      <c r="J13" s="44">
        <f t="shared" ref="J13:J15" si="4">+U13-I13</f>
        <v>859</v>
      </c>
      <c r="K13" s="1">
        <v>688</v>
      </c>
      <c r="L13" s="44">
        <f t="shared" ref="L13:L15" si="5">+V13-K13</f>
        <v>634</v>
      </c>
      <c r="M13" s="1">
        <v>654</v>
      </c>
      <c r="Q13" s="43"/>
      <c r="R13" s="43"/>
      <c r="S13" s="43">
        <v>1402</v>
      </c>
      <c r="T13" s="43">
        <v>1562</v>
      </c>
      <c r="U13" s="43">
        <v>1549</v>
      </c>
      <c r="V13" s="43">
        <v>1322</v>
      </c>
    </row>
    <row r="14" spans="2:23" x14ac:dyDescent="0.2">
      <c r="B14" s="1" t="s">
        <v>50</v>
      </c>
      <c r="G14" s="1">
        <v>6</v>
      </c>
      <c r="H14" s="44">
        <f t="shared" si="3"/>
        <v>-69</v>
      </c>
      <c r="I14" s="1">
        <v>-14</v>
      </c>
      <c r="J14" s="44">
        <f t="shared" si="4"/>
        <v>-10</v>
      </c>
      <c r="K14" s="1">
        <v>7</v>
      </c>
      <c r="L14" s="44">
        <f t="shared" si="5"/>
        <v>9</v>
      </c>
      <c r="M14" s="1">
        <v>6</v>
      </c>
      <c r="Q14" s="43"/>
      <c r="R14" s="43"/>
      <c r="S14" s="43">
        <v>-178</v>
      </c>
      <c r="T14" s="43">
        <v>-63</v>
      </c>
      <c r="U14" s="43">
        <v>-24</v>
      </c>
      <c r="V14" s="43">
        <v>16</v>
      </c>
    </row>
    <row r="15" spans="2:23" x14ac:dyDescent="0.2">
      <c r="B15" s="1" t="s">
        <v>51</v>
      </c>
      <c r="G15" s="1">
        <v>0</v>
      </c>
      <c r="H15" s="44">
        <f t="shared" si="3"/>
        <v>-1</v>
      </c>
      <c r="I15" s="1">
        <v>1</v>
      </c>
      <c r="J15" s="44">
        <f t="shared" si="4"/>
        <v>-2</v>
      </c>
      <c r="K15" s="1">
        <v>5</v>
      </c>
      <c r="L15" s="44">
        <f t="shared" si="5"/>
        <v>-6</v>
      </c>
      <c r="M15" s="1">
        <v>0</v>
      </c>
      <c r="Q15" s="43"/>
      <c r="R15" s="43"/>
      <c r="S15" s="43">
        <v>-5</v>
      </c>
      <c r="T15" s="43">
        <v>-1</v>
      </c>
      <c r="U15" s="43">
        <v>-1</v>
      </c>
      <c r="V15" s="43">
        <v>-1</v>
      </c>
    </row>
    <row r="16" spans="2:23" s="2" customFormat="1" x14ac:dyDescent="0.2">
      <c r="B16" s="2" t="s">
        <v>52</v>
      </c>
      <c r="D16" s="37"/>
      <c r="F16" s="37"/>
      <c r="G16" s="40">
        <f>+G12-G13-G14-G15</f>
        <v>9</v>
      </c>
      <c r="H16" s="41">
        <f>+H12-H13-H14-H15</f>
        <v>174</v>
      </c>
      <c r="I16" s="40">
        <f>+I12-I13-I14-I15</f>
        <v>148</v>
      </c>
      <c r="J16" s="41">
        <f>+J12-J13-J14-J15</f>
        <v>123</v>
      </c>
      <c r="K16" s="40">
        <f>+K12-K13-K14-K15</f>
        <v>219</v>
      </c>
      <c r="L16" s="41">
        <f>+L12-L13-L14-L15</f>
        <v>279</v>
      </c>
      <c r="M16" s="40">
        <f>+M12-M13-M14-M15</f>
        <v>219</v>
      </c>
      <c r="N16" s="37"/>
      <c r="Q16" s="40"/>
      <c r="R16" s="40"/>
      <c r="S16" s="40">
        <f t="shared" ref="S16:V16" si="6">+S12-S13-S14-S15</f>
        <v>411</v>
      </c>
      <c r="T16" s="40">
        <f t="shared" si="6"/>
        <v>183</v>
      </c>
      <c r="U16" s="40">
        <f t="shared" si="6"/>
        <v>271</v>
      </c>
      <c r="V16" s="40">
        <f t="shared" si="6"/>
        <v>498</v>
      </c>
    </row>
    <row r="17" spans="2:22" x14ac:dyDescent="0.2">
      <c r="B17" s="1" t="s">
        <v>53</v>
      </c>
      <c r="G17" s="1">
        <v>31</v>
      </c>
      <c r="H17" s="44">
        <f t="shared" ref="H17:H18" si="7">+T17-G17</f>
        <v>37</v>
      </c>
      <c r="I17" s="1">
        <v>8</v>
      </c>
      <c r="J17" s="44">
        <f t="shared" ref="J17:J18" si="8">+U17-I17</f>
        <v>63</v>
      </c>
      <c r="K17" s="1">
        <v>36</v>
      </c>
      <c r="L17" s="44">
        <f t="shared" ref="L17:L18" si="9">+V17-K17</f>
        <v>45</v>
      </c>
      <c r="M17" s="1">
        <v>57</v>
      </c>
      <c r="Q17" s="43"/>
      <c r="R17" s="43"/>
      <c r="S17" s="43">
        <v>107</v>
      </c>
      <c r="T17" s="43">
        <v>68</v>
      </c>
      <c r="U17" s="43">
        <v>71</v>
      </c>
      <c r="V17" s="43">
        <v>81</v>
      </c>
    </row>
    <row r="18" spans="2:22" x14ac:dyDescent="0.2">
      <c r="B18" s="1" t="s">
        <v>54</v>
      </c>
      <c r="G18" s="1">
        <v>26</v>
      </c>
      <c r="H18" s="44">
        <f t="shared" si="7"/>
        <v>16</v>
      </c>
      <c r="I18" s="1">
        <v>39</v>
      </c>
      <c r="J18" s="44">
        <f t="shared" si="8"/>
        <v>84</v>
      </c>
      <c r="K18" s="1">
        <v>53</v>
      </c>
      <c r="L18" s="44">
        <f t="shared" si="9"/>
        <v>23</v>
      </c>
      <c r="M18" s="1">
        <v>50</v>
      </c>
      <c r="Q18" s="43"/>
      <c r="R18" s="43"/>
      <c r="S18" s="43">
        <v>50</v>
      </c>
      <c r="T18" s="43">
        <v>42</v>
      </c>
      <c r="U18" s="43">
        <v>123</v>
      </c>
      <c r="V18" s="43">
        <v>76</v>
      </c>
    </row>
    <row r="19" spans="2:22" x14ac:dyDescent="0.2">
      <c r="B19" s="1" t="s">
        <v>55</v>
      </c>
      <c r="G19" s="43">
        <f>+G16-G17+G18</f>
        <v>4</v>
      </c>
      <c r="H19" s="44">
        <f>+H16-H17+H18</f>
        <v>153</v>
      </c>
      <c r="I19" s="43">
        <f>+I16-I17+I18</f>
        <v>179</v>
      </c>
      <c r="J19" s="44">
        <f>+J16-J17+J18</f>
        <v>144</v>
      </c>
      <c r="K19" s="43">
        <f>+K16-K17+K18</f>
        <v>236</v>
      </c>
      <c r="L19" s="44">
        <f>+L16-L17+L18</f>
        <v>257</v>
      </c>
      <c r="M19" s="43">
        <f>+M16-M17+M18</f>
        <v>212</v>
      </c>
      <c r="Q19" s="43"/>
      <c r="R19" s="43"/>
      <c r="S19" s="43">
        <f t="shared" ref="S19:V19" si="10">+S16-S17+S18</f>
        <v>354</v>
      </c>
      <c r="T19" s="43">
        <f t="shared" si="10"/>
        <v>157</v>
      </c>
      <c r="U19" s="43">
        <f t="shared" si="10"/>
        <v>323</v>
      </c>
      <c r="V19" s="43">
        <f t="shared" si="10"/>
        <v>493</v>
      </c>
    </row>
    <row r="20" spans="2:22" x14ac:dyDescent="0.2">
      <c r="B20" s="1" t="s">
        <v>56</v>
      </c>
      <c r="G20" s="1">
        <v>-14</v>
      </c>
      <c r="H20" s="44">
        <f>+T20-G20</f>
        <v>11</v>
      </c>
      <c r="I20" s="1">
        <v>48</v>
      </c>
      <c r="J20" s="44">
        <f>+U20-I20</f>
        <v>31</v>
      </c>
      <c r="K20" s="1">
        <v>49</v>
      </c>
      <c r="L20" s="44">
        <f>+V20-K20</f>
        <v>64</v>
      </c>
      <c r="M20" s="1">
        <v>54</v>
      </c>
      <c r="Q20" s="43"/>
      <c r="R20" s="43"/>
      <c r="S20" s="43">
        <v>44</v>
      </c>
      <c r="T20" s="43">
        <v>-3</v>
      </c>
      <c r="U20" s="43">
        <v>79</v>
      </c>
      <c r="V20" s="43">
        <v>113</v>
      </c>
    </row>
    <row r="21" spans="2:22" s="2" customFormat="1" x14ac:dyDescent="0.2">
      <c r="B21" s="2" t="s">
        <v>57</v>
      </c>
      <c r="D21" s="37"/>
      <c r="F21" s="37"/>
      <c r="G21" s="40">
        <f>+G19-G20</f>
        <v>18</v>
      </c>
      <c r="H21" s="41">
        <f>+H19-H20</f>
        <v>142</v>
      </c>
      <c r="I21" s="40">
        <f>+I19-I20</f>
        <v>131</v>
      </c>
      <c r="J21" s="41">
        <f>+J19-J20</f>
        <v>113</v>
      </c>
      <c r="K21" s="40">
        <f>+K19-K20</f>
        <v>187</v>
      </c>
      <c r="L21" s="41">
        <f>+L19-L20</f>
        <v>193</v>
      </c>
      <c r="M21" s="40">
        <f>+M19-M20</f>
        <v>158</v>
      </c>
      <c r="N21" s="37"/>
      <c r="Q21" s="40"/>
      <c r="R21" s="40"/>
      <c r="S21" s="40">
        <f t="shared" ref="S21:V21" si="11">+S19-S20</f>
        <v>310</v>
      </c>
      <c r="T21" s="40">
        <f t="shared" si="11"/>
        <v>160</v>
      </c>
      <c r="U21" s="40">
        <f t="shared" si="11"/>
        <v>244</v>
      </c>
      <c r="V21" s="40">
        <f t="shared" si="11"/>
        <v>380</v>
      </c>
    </row>
    <row r="22" spans="2:22" s="45" customFormat="1" x14ac:dyDescent="0.2">
      <c r="B22" s="45" t="s">
        <v>58</v>
      </c>
      <c r="D22" s="46"/>
      <c r="F22" s="46"/>
      <c r="G22" s="45">
        <f>+G21/G23</f>
        <v>2.3898035050451405E-2</v>
      </c>
      <c r="H22" s="46">
        <f>H21/H23</f>
        <v>0.18830393846969898</v>
      </c>
      <c r="I22" s="45">
        <f>+I21/I23</f>
        <v>0.17459682793549247</v>
      </c>
      <c r="J22" s="46">
        <f>J21/J23</f>
        <v>0.1530957864787969</v>
      </c>
      <c r="K22" s="45">
        <f>+K21/K23</f>
        <v>0.26190476190476192</v>
      </c>
      <c r="L22" s="46">
        <f>L21/L23</f>
        <v>0.27125790583274773</v>
      </c>
      <c r="M22" s="45">
        <f>+M21/M23</f>
        <v>0.23218221895664953</v>
      </c>
      <c r="N22" s="46"/>
      <c r="S22" s="45">
        <f>S21/S23</f>
        <v>0.41037860736033893</v>
      </c>
      <c r="T22" s="45">
        <f>T21/T23</f>
        <v>0.21217345179684391</v>
      </c>
      <c r="U22" s="45">
        <f>U21/U23</f>
        <v>0.33057851239669422</v>
      </c>
      <c r="V22" s="45">
        <f>V21/V23</f>
        <v>0.53408292340126495</v>
      </c>
    </row>
    <row r="23" spans="2:22" s="43" customFormat="1" x14ac:dyDescent="0.2">
      <c r="B23" s="43" t="s">
        <v>4</v>
      </c>
      <c r="D23" s="44"/>
      <c r="F23" s="44"/>
      <c r="G23" s="43">
        <v>753.2</v>
      </c>
      <c r="H23" s="44">
        <f>+T23</f>
        <v>754.1</v>
      </c>
      <c r="I23" s="43">
        <v>750.3</v>
      </c>
      <c r="J23" s="44">
        <f>+U23</f>
        <v>738.1</v>
      </c>
      <c r="K23" s="43">
        <v>714</v>
      </c>
      <c r="L23" s="44">
        <f>+V23</f>
        <v>711.5</v>
      </c>
      <c r="M23" s="43">
        <v>680.5</v>
      </c>
      <c r="N23" s="44"/>
      <c r="S23" s="43">
        <v>755.4</v>
      </c>
      <c r="T23" s="43">
        <v>754.1</v>
      </c>
      <c r="U23" s="43">
        <v>738.1</v>
      </c>
      <c r="V23" s="43">
        <v>711.5</v>
      </c>
    </row>
    <row r="25" spans="2:22" s="47" customFormat="1" x14ac:dyDescent="0.2">
      <c r="B25" s="47" t="s">
        <v>62</v>
      </c>
      <c r="D25" s="48"/>
      <c r="F25" s="48"/>
      <c r="H25" s="48"/>
      <c r="I25" s="47">
        <f>+I10/G10-1</f>
        <v>0.11959924859110838</v>
      </c>
      <c r="J25" s="48">
        <f>+J10/H10-1</f>
        <v>0.12124522119060632</v>
      </c>
      <c r="K25" s="47">
        <f>+K10/I10-1</f>
        <v>5.0894854586129856E-2</v>
      </c>
      <c r="L25" s="48">
        <f>+L10/J10-1</f>
        <v>-0.12566975158304916</v>
      </c>
      <c r="M25" s="47">
        <f>+M10/K10-1</f>
        <v>-6.6524747205960577E-2</v>
      </c>
      <c r="N25" s="48">
        <v>-0.05</v>
      </c>
      <c r="T25" s="47">
        <f>T10/S10-1</f>
        <v>9.1256991463055659E-3</v>
      </c>
      <c r="U25" s="47">
        <f>U10/T10-1</f>
        <v>0.12047841306884477</v>
      </c>
      <c r="V25" s="47">
        <f>V10/U10-1</f>
        <v>-4.3478260869565188E-2</v>
      </c>
    </row>
    <row r="26" spans="2:22" s="50" customFormat="1" x14ac:dyDescent="0.2">
      <c r="B26" s="50" t="s">
        <v>63</v>
      </c>
      <c r="D26" s="51"/>
      <c r="F26" s="51"/>
      <c r="H26" s="51">
        <f>+H10/G10-1</f>
        <v>0.14652473387601761</v>
      </c>
      <c r="I26" s="50">
        <f>+I10/H10-1</f>
        <v>-2.348443473511741E-2</v>
      </c>
      <c r="J26" s="51">
        <f>+J10/I10-1</f>
        <v>0.14821029082774051</v>
      </c>
      <c r="K26" s="50">
        <f>+K10/J10-1</f>
        <v>-8.4754018509498263E-2</v>
      </c>
      <c r="L26" s="51">
        <f>+L10/K10-1</f>
        <v>-4.4704630122405553E-2</v>
      </c>
      <c r="M26" s="50">
        <f>+M10/L10-1</f>
        <v>-2.2841225626740957E-2</v>
      </c>
      <c r="N26" s="51"/>
      <c r="Q26" s="62" t="s">
        <v>109</v>
      </c>
      <c r="R26" s="62" t="s">
        <v>109</v>
      </c>
      <c r="S26" s="62" t="s">
        <v>109</v>
      </c>
      <c r="T26" s="62" t="s">
        <v>109</v>
      </c>
      <c r="U26" s="62" t="s">
        <v>109</v>
      </c>
      <c r="V26" s="62" t="s">
        <v>109</v>
      </c>
    </row>
    <row r="28" spans="2:22" s="50" customFormat="1" x14ac:dyDescent="0.2">
      <c r="B28" s="50" t="s">
        <v>59</v>
      </c>
      <c r="D28" s="51"/>
      <c r="F28" s="51"/>
      <c r="G28" s="50">
        <f>G12/G10</f>
        <v>0.47526612398246715</v>
      </c>
      <c r="H28" s="51">
        <f>H12/H10</f>
        <v>0.50354997269251778</v>
      </c>
      <c r="I28" s="50">
        <f>I12/I10</f>
        <v>0.46140939597315433</v>
      </c>
      <c r="J28" s="51">
        <f>J12/J10</f>
        <v>0.47247929858743304</v>
      </c>
      <c r="K28" s="50">
        <f>K12/K10</f>
        <v>0.48908994145822243</v>
      </c>
      <c r="L28" s="51">
        <f>L12/L10</f>
        <v>0.51030640668523675</v>
      </c>
      <c r="M28" s="50">
        <f>M12/M10</f>
        <v>0.5011402508551881</v>
      </c>
      <c r="N28" s="51"/>
      <c r="S28" s="50">
        <f>S12/S10</f>
        <v>0.47983514866058286</v>
      </c>
      <c r="T28" s="50">
        <f>T12/T10</f>
        <v>0.49037339556592763</v>
      </c>
      <c r="U28" s="50">
        <f>U12/U10</f>
        <v>0.46732621713095546</v>
      </c>
      <c r="V28" s="50">
        <f>V12/V10</f>
        <v>0.49945563418617311</v>
      </c>
    </row>
    <row r="29" spans="2:22" s="50" customFormat="1" x14ac:dyDescent="0.2">
      <c r="B29" s="50" t="s">
        <v>60</v>
      </c>
      <c r="D29" s="51"/>
      <c r="F29" s="51"/>
      <c r="G29" s="50">
        <f>G16/G10</f>
        <v>5.6355666875391357E-3</v>
      </c>
      <c r="H29" s="51">
        <f>H16/H10</f>
        <v>9.503003823047515E-2</v>
      </c>
      <c r="I29" s="50">
        <f>I16/I10</f>
        <v>8.2774049217002238E-2</v>
      </c>
      <c r="J29" s="51">
        <f>J16/J10</f>
        <v>5.9912323429128105E-2</v>
      </c>
      <c r="K29" s="50">
        <f>K16/K10</f>
        <v>0.116551357104843</v>
      </c>
      <c r="L29" s="51">
        <f>L16/L10</f>
        <v>0.1554317548746518</v>
      </c>
      <c r="M29" s="50">
        <f>M16/M10</f>
        <v>0.12485746864310149</v>
      </c>
      <c r="N29" s="51"/>
      <c r="S29" s="50">
        <f>S16/S10</f>
        <v>0.1209891080365028</v>
      </c>
      <c r="T29" s="50">
        <f>T16/T10</f>
        <v>5.338389731621937E-2</v>
      </c>
      <c r="U29" s="50">
        <f>U16/U10</f>
        <v>7.0554543087737565E-2</v>
      </c>
      <c r="V29" s="50">
        <f>V16/V10</f>
        <v>0.13554708764289602</v>
      </c>
    </row>
    <row r="30" spans="2:22" s="50" customFormat="1" x14ac:dyDescent="0.2">
      <c r="B30" s="50" t="s">
        <v>61</v>
      </c>
      <c r="D30" s="51"/>
      <c r="F30" s="51"/>
      <c r="G30" s="50">
        <f>G21/G10</f>
        <v>1.1271133375078271E-2</v>
      </c>
      <c r="H30" s="51">
        <f>H21/H10</f>
        <v>7.7553249590387771E-2</v>
      </c>
      <c r="I30" s="50">
        <f>I21/I10</f>
        <v>7.3266219239373598E-2</v>
      </c>
      <c r="J30" s="51">
        <f>J21/J10</f>
        <v>5.504140282513395E-2</v>
      </c>
      <c r="K30" s="50">
        <f>K21/K10</f>
        <v>9.9521021820117087E-2</v>
      </c>
      <c r="L30" s="51">
        <f>L21/L10</f>
        <v>0.1075208913649025</v>
      </c>
      <c r="M30" s="50">
        <f>M21/M10</f>
        <v>9.0079817559863176E-2</v>
      </c>
      <c r="N30" s="51"/>
      <c r="S30" s="50">
        <f>S21/S10</f>
        <v>9.1256991463055631E-2</v>
      </c>
      <c r="T30" s="50">
        <f>T21/T10</f>
        <v>4.6674445740956826E-2</v>
      </c>
      <c r="U30" s="50">
        <f>U21/U10</f>
        <v>6.3525123665712058E-2</v>
      </c>
      <c r="V30" s="50">
        <f>V21/V10</f>
        <v>0.10342950462710941</v>
      </c>
    </row>
    <row r="31" spans="2:22" s="50" customFormat="1" x14ac:dyDescent="0.2">
      <c r="B31" s="50" t="s">
        <v>56</v>
      </c>
      <c r="D31" s="51"/>
      <c r="F31" s="51"/>
      <c r="G31" s="50">
        <f>G20/G19</f>
        <v>-3.5</v>
      </c>
      <c r="H31" s="51">
        <f>H20/H19</f>
        <v>7.1895424836601302E-2</v>
      </c>
      <c r="I31" s="50">
        <f>I20/I19</f>
        <v>0.26815642458100558</v>
      </c>
      <c r="J31" s="51">
        <f>J20/J19</f>
        <v>0.21527777777777779</v>
      </c>
      <c r="K31" s="50">
        <f>K20/K19</f>
        <v>0.2076271186440678</v>
      </c>
      <c r="L31" s="51">
        <f>L20/L19</f>
        <v>0.24902723735408561</v>
      </c>
      <c r="M31" s="50">
        <f>M20/M19</f>
        <v>0.25471698113207547</v>
      </c>
      <c r="N31" s="51"/>
      <c r="S31" s="50">
        <f>S20/S19</f>
        <v>0.12429378531073447</v>
      </c>
      <c r="T31" s="50">
        <f>T20/T19</f>
        <v>-1.9108280254777069E-2</v>
      </c>
      <c r="U31" s="50">
        <f>U20/U19</f>
        <v>0.24458204334365324</v>
      </c>
      <c r="V31" s="50">
        <f>V20/V19</f>
        <v>0.22920892494929007</v>
      </c>
    </row>
    <row r="35" spans="2:22" x14ac:dyDescent="0.2">
      <c r="B35" s="52" t="s">
        <v>64</v>
      </c>
    </row>
    <row r="36" spans="2:22" s="43" customFormat="1" x14ac:dyDescent="0.2">
      <c r="B36" s="43" t="s">
        <v>65</v>
      </c>
      <c r="D36" s="44"/>
      <c r="F36" s="44"/>
      <c r="G36" s="43">
        <v>453</v>
      </c>
      <c r="H36" s="44"/>
      <c r="I36" s="43">
        <v>292</v>
      </c>
      <c r="J36" s="44"/>
      <c r="K36" s="43">
        <v>226</v>
      </c>
      <c r="L36" s="44"/>
      <c r="M36" s="43">
        <v>207</v>
      </c>
      <c r="N36" s="44"/>
      <c r="U36" s="43">
        <v>250</v>
      </c>
      <c r="V36" s="43">
        <v>217</v>
      </c>
    </row>
    <row r="37" spans="2:22" s="40" customFormat="1" x14ac:dyDescent="0.2">
      <c r="B37" s="40" t="s">
        <v>66</v>
      </c>
      <c r="D37" s="41"/>
      <c r="F37" s="41"/>
      <c r="G37" s="40">
        <v>0</v>
      </c>
      <c r="H37" s="41"/>
      <c r="I37" s="40">
        <v>72</v>
      </c>
      <c r="J37" s="41"/>
      <c r="K37" s="40">
        <v>60</v>
      </c>
      <c r="L37" s="41"/>
      <c r="M37" s="40">
        <v>75</v>
      </c>
      <c r="N37" s="41"/>
      <c r="U37" s="40">
        <v>60</v>
      </c>
      <c r="V37" s="40">
        <v>79</v>
      </c>
    </row>
    <row r="38" spans="2:22" s="43" customFormat="1" x14ac:dyDescent="0.2">
      <c r="B38" s="43" t="s">
        <v>67</v>
      </c>
      <c r="D38" s="44"/>
      <c r="F38" s="44"/>
      <c r="G38" s="43">
        <v>2686</v>
      </c>
      <c r="H38" s="44"/>
      <c r="I38" s="43">
        <v>3214</v>
      </c>
      <c r="J38" s="44"/>
      <c r="K38" s="43">
        <v>3126</v>
      </c>
      <c r="L38" s="44"/>
      <c r="M38" s="43">
        <v>3050</v>
      </c>
      <c r="N38" s="44"/>
      <c r="U38" s="43">
        <v>3177</v>
      </c>
      <c r="V38" s="43">
        <v>3091</v>
      </c>
    </row>
    <row r="39" spans="2:22" s="40" customFormat="1" x14ac:dyDescent="0.2">
      <c r="B39" s="40" t="s">
        <v>68</v>
      </c>
      <c r="D39" s="41"/>
      <c r="F39" s="41"/>
      <c r="G39" s="40">
        <v>12</v>
      </c>
      <c r="H39" s="41"/>
      <c r="I39" s="40">
        <v>24</v>
      </c>
      <c r="J39" s="41"/>
      <c r="K39" s="40">
        <v>17</v>
      </c>
      <c r="L39" s="41"/>
      <c r="M39" s="40">
        <v>11</v>
      </c>
      <c r="N39" s="41"/>
      <c r="U39" s="40">
        <v>25</v>
      </c>
      <c r="V39" s="40">
        <v>22</v>
      </c>
    </row>
    <row r="40" spans="2:22" s="43" customFormat="1" x14ac:dyDescent="0.2">
      <c r="B40" s="43" t="s">
        <v>69</v>
      </c>
      <c r="D40" s="44"/>
      <c r="F40" s="44"/>
      <c r="G40" s="43">
        <v>45</v>
      </c>
      <c r="H40" s="44"/>
      <c r="I40" s="43">
        <v>41</v>
      </c>
      <c r="J40" s="44"/>
      <c r="K40" s="43">
        <v>27</v>
      </c>
      <c r="L40" s="44"/>
      <c r="M40" s="43">
        <v>34</v>
      </c>
      <c r="N40" s="44"/>
      <c r="U40" s="43">
        <v>57</v>
      </c>
      <c r="V40" s="43">
        <v>35</v>
      </c>
    </row>
    <row r="41" spans="2:22" s="40" customFormat="1" x14ac:dyDescent="0.2">
      <c r="B41" s="40" t="s">
        <v>70</v>
      </c>
      <c r="D41" s="41"/>
      <c r="F41" s="41"/>
      <c r="G41" s="40">
        <v>34</v>
      </c>
      <c r="H41" s="41"/>
      <c r="I41" s="40">
        <v>33</v>
      </c>
      <c r="J41" s="41"/>
      <c r="K41" s="40">
        <v>41</v>
      </c>
      <c r="L41" s="41"/>
      <c r="M41" s="40">
        <v>4</v>
      </c>
      <c r="N41" s="41"/>
      <c r="U41" s="40">
        <v>43</v>
      </c>
      <c r="V41" s="40">
        <v>32</v>
      </c>
    </row>
    <row r="42" spans="2:22" s="43" customFormat="1" x14ac:dyDescent="0.2">
      <c r="B42" s="43" t="s">
        <v>71</v>
      </c>
      <c r="D42" s="44"/>
      <c r="F42" s="44"/>
      <c r="G42" s="43">
        <v>437</v>
      </c>
      <c r="H42" s="44"/>
      <c r="I42" s="43">
        <v>652</v>
      </c>
      <c r="J42" s="44"/>
      <c r="K42" s="43">
        <v>554</v>
      </c>
      <c r="L42" s="44"/>
      <c r="M42" s="43">
        <v>491</v>
      </c>
      <c r="N42" s="44"/>
      <c r="U42" s="43">
        <v>581</v>
      </c>
      <c r="V42" s="43">
        <v>499</v>
      </c>
    </row>
    <row r="43" spans="2:22" s="40" customFormat="1" x14ac:dyDescent="0.2">
      <c r="B43" s="40" t="s">
        <v>72</v>
      </c>
      <c r="D43" s="41"/>
      <c r="F43" s="41"/>
      <c r="G43" s="40">
        <v>160</v>
      </c>
      <c r="H43" s="41"/>
      <c r="I43" s="40">
        <v>120</v>
      </c>
      <c r="J43" s="41"/>
      <c r="K43" s="40">
        <v>138</v>
      </c>
      <c r="L43" s="41"/>
      <c r="M43" s="40">
        <v>141</v>
      </c>
      <c r="N43" s="41"/>
      <c r="U43" s="40">
        <v>133</v>
      </c>
      <c r="V43" s="40">
        <v>143</v>
      </c>
    </row>
    <row r="44" spans="2:22" s="43" customFormat="1" x14ac:dyDescent="0.2">
      <c r="B44" s="43" t="s">
        <v>73</v>
      </c>
      <c r="D44" s="44"/>
      <c r="F44" s="44"/>
      <c r="G44" s="43">
        <v>0</v>
      </c>
      <c r="H44" s="44"/>
      <c r="I44" s="43">
        <v>41</v>
      </c>
      <c r="J44" s="44"/>
      <c r="K44" s="43">
        <v>41</v>
      </c>
      <c r="L44" s="44"/>
      <c r="M44" s="43">
        <v>41</v>
      </c>
      <c r="N44" s="44"/>
      <c r="U44" s="43">
        <v>41</v>
      </c>
      <c r="V44" s="43">
        <v>41</v>
      </c>
    </row>
    <row r="45" spans="2:22" s="43" customFormat="1" x14ac:dyDescent="0.2">
      <c r="B45" s="43" t="s">
        <v>74</v>
      </c>
      <c r="D45" s="44"/>
      <c r="F45" s="44"/>
      <c r="G45" s="43">
        <v>137</v>
      </c>
      <c r="H45" s="44"/>
      <c r="I45" s="43">
        <v>143</v>
      </c>
      <c r="J45" s="44"/>
      <c r="K45" s="43">
        <v>138</v>
      </c>
      <c r="L45" s="44"/>
      <c r="M45" s="43">
        <v>134</v>
      </c>
      <c r="N45" s="44"/>
      <c r="U45" s="43">
        <v>139</v>
      </c>
      <c r="V45" s="43">
        <v>135</v>
      </c>
    </row>
    <row r="46" spans="2:22" s="43" customFormat="1" x14ac:dyDescent="0.2">
      <c r="B46" s="43" t="s">
        <v>75</v>
      </c>
      <c r="D46" s="44"/>
      <c r="F46" s="44"/>
      <c r="G46" s="43">
        <f>+SUM(G36:G45)</f>
        <v>3964</v>
      </c>
      <c r="H46" s="44"/>
      <c r="I46" s="43">
        <f>+SUM(I36:I45)</f>
        <v>4632</v>
      </c>
      <c r="J46" s="44"/>
      <c r="K46" s="43">
        <f>+SUM(K36:K45)</f>
        <v>4368</v>
      </c>
      <c r="L46" s="44"/>
      <c r="M46" s="43">
        <f>+SUM(M36:M45)</f>
        <v>4188</v>
      </c>
      <c r="N46" s="44"/>
      <c r="U46" s="43">
        <f t="shared" ref="U46:V46" si="12">+SUM(U36:U45)</f>
        <v>4506</v>
      </c>
      <c r="V46" s="43">
        <f t="shared" si="12"/>
        <v>4294</v>
      </c>
    </row>
    <row r="47" spans="2:22" s="43" customFormat="1" x14ac:dyDescent="0.2">
      <c r="B47" s="43" t="s">
        <v>67</v>
      </c>
      <c r="D47" s="44"/>
      <c r="F47" s="44"/>
      <c r="G47" s="43">
        <v>875</v>
      </c>
      <c r="H47" s="44"/>
      <c r="I47" s="43">
        <v>932</v>
      </c>
      <c r="J47" s="44"/>
      <c r="K47" s="43">
        <v>947</v>
      </c>
      <c r="L47" s="44"/>
      <c r="M47" s="43">
        <v>941</v>
      </c>
      <c r="N47" s="44"/>
      <c r="U47" s="43">
        <v>975</v>
      </c>
      <c r="V47" s="43">
        <v>947</v>
      </c>
    </row>
    <row r="48" spans="2:22" s="43" customFormat="1" x14ac:dyDescent="0.2">
      <c r="B48" s="43" t="s">
        <v>76</v>
      </c>
      <c r="D48" s="44"/>
      <c r="F48" s="44"/>
      <c r="G48" s="43">
        <v>126</v>
      </c>
      <c r="H48" s="44"/>
      <c r="I48" s="43">
        <v>103</v>
      </c>
      <c r="J48" s="44"/>
      <c r="K48" s="43">
        <v>110</v>
      </c>
      <c r="L48" s="44"/>
      <c r="M48" s="43">
        <v>89</v>
      </c>
      <c r="N48" s="44"/>
      <c r="U48" s="43">
        <v>105</v>
      </c>
      <c r="V48" s="43">
        <v>91</v>
      </c>
    </row>
    <row r="49" spans="2:22" s="43" customFormat="1" x14ac:dyDescent="0.2">
      <c r="B49" s="43" t="s">
        <v>74</v>
      </c>
      <c r="D49" s="44"/>
      <c r="F49" s="44"/>
      <c r="G49" s="43">
        <v>1147</v>
      </c>
      <c r="H49" s="44"/>
      <c r="I49" s="43">
        <v>1207</v>
      </c>
      <c r="J49" s="44"/>
      <c r="K49" s="43">
        <v>1060</v>
      </c>
      <c r="L49" s="44"/>
      <c r="M49" s="43">
        <v>1081</v>
      </c>
      <c r="N49" s="44"/>
      <c r="U49" s="43">
        <v>1139</v>
      </c>
      <c r="V49" s="43">
        <v>1050</v>
      </c>
    </row>
    <row r="50" spans="2:22" s="40" customFormat="1" x14ac:dyDescent="0.2">
      <c r="B50" s="40" t="s">
        <v>70</v>
      </c>
      <c r="D50" s="41"/>
      <c r="F50" s="41"/>
      <c r="G50" s="40">
        <v>5</v>
      </c>
      <c r="H50" s="41"/>
      <c r="I50" s="40">
        <v>1</v>
      </c>
      <c r="J50" s="41"/>
      <c r="K50" s="40">
        <v>17</v>
      </c>
      <c r="L50" s="41"/>
      <c r="M50" s="40">
        <v>55</v>
      </c>
      <c r="N50" s="41"/>
      <c r="U50" s="40">
        <v>16</v>
      </c>
      <c r="V50" s="40">
        <v>16</v>
      </c>
    </row>
    <row r="51" spans="2:22" s="43" customFormat="1" x14ac:dyDescent="0.2">
      <c r="B51" s="43" t="s">
        <v>77</v>
      </c>
      <c r="D51" s="44"/>
      <c r="F51" s="44"/>
      <c r="G51" s="43">
        <v>134</v>
      </c>
      <c r="H51" s="44"/>
      <c r="I51" s="43">
        <v>2</v>
      </c>
      <c r="J51" s="44"/>
      <c r="K51" s="43">
        <v>10</v>
      </c>
      <c r="L51" s="44"/>
      <c r="M51" s="43">
        <v>23</v>
      </c>
      <c r="N51" s="44"/>
      <c r="U51" s="43">
        <v>9</v>
      </c>
      <c r="V51" s="43">
        <v>15</v>
      </c>
    </row>
    <row r="52" spans="2:22" s="40" customFormat="1" x14ac:dyDescent="0.2">
      <c r="B52" s="40" t="s">
        <v>6</v>
      </c>
      <c r="D52" s="41"/>
      <c r="F52" s="41"/>
      <c r="G52" s="40">
        <v>648</v>
      </c>
      <c r="H52" s="41"/>
      <c r="I52" s="40">
        <v>392</v>
      </c>
      <c r="J52" s="41"/>
      <c r="K52" s="40">
        <v>355</v>
      </c>
      <c r="L52" s="41"/>
      <c r="M52" s="40">
        <v>332</v>
      </c>
      <c r="N52" s="41"/>
      <c r="U52" s="40">
        <v>558</v>
      </c>
      <c r="V52" s="40">
        <v>312</v>
      </c>
    </row>
    <row r="53" spans="2:22" s="43" customFormat="1" x14ac:dyDescent="0.2">
      <c r="B53" s="43" t="s">
        <v>108</v>
      </c>
      <c r="D53" s="44"/>
      <c r="F53" s="44"/>
      <c r="G53" s="43">
        <v>18</v>
      </c>
      <c r="H53" s="44"/>
      <c r="I53" s="43">
        <v>201</v>
      </c>
      <c r="J53" s="44"/>
      <c r="K53" s="43">
        <v>15</v>
      </c>
      <c r="L53" s="44"/>
      <c r="M53" s="43">
        <v>0</v>
      </c>
      <c r="N53" s="44"/>
      <c r="U53" s="43">
        <v>16</v>
      </c>
      <c r="V53" s="43">
        <v>2</v>
      </c>
    </row>
    <row r="54" spans="2:22" s="43" customFormat="1" x14ac:dyDescent="0.2">
      <c r="B54" s="43" t="s">
        <v>78</v>
      </c>
      <c r="D54" s="44"/>
      <c r="F54" s="44"/>
      <c r="G54" s="43">
        <f>+SUM(G46:G53)</f>
        <v>6917</v>
      </c>
      <c r="H54" s="44"/>
      <c r="I54" s="43">
        <f>+SUM(I46:I53)</f>
        <v>7470</v>
      </c>
      <c r="J54" s="44"/>
      <c r="K54" s="43">
        <f>+SUM(K46:K53)</f>
        <v>6882</v>
      </c>
      <c r="L54" s="44"/>
      <c r="M54" s="43">
        <f>+SUM(M46:M53)</f>
        <v>6709</v>
      </c>
      <c r="N54" s="44"/>
      <c r="U54" s="43">
        <f>+SUM(U46:U53)</f>
        <v>7324</v>
      </c>
      <c r="V54" s="43">
        <f>+SUM(V46:V53)</f>
        <v>6727</v>
      </c>
    </row>
    <row r="55" spans="2:22" s="43" customFormat="1" x14ac:dyDescent="0.2">
      <c r="D55" s="44"/>
      <c r="F55" s="44"/>
      <c r="H55" s="44"/>
      <c r="J55" s="44"/>
      <c r="L55" s="44"/>
      <c r="N55" s="44"/>
    </row>
    <row r="56" spans="2:22" s="40" customFormat="1" x14ac:dyDescent="0.2">
      <c r="B56" s="40" t="s">
        <v>79</v>
      </c>
      <c r="D56" s="41"/>
      <c r="F56" s="41"/>
      <c r="G56" s="40">
        <v>1259</v>
      </c>
      <c r="H56" s="41"/>
      <c r="I56" s="40">
        <v>1151</v>
      </c>
      <c r="J56" s="41"/>
      <c r="K56" s="40">
        <v>1308</v>
      </c>
      <c r="L56" s="41"/>
      <c r="M56" s="40">
        <v>1300</v>
      </c>
      <c r="N56" s="41"/>
      <c r="U56" s="40">
        <v>1144</v>
      </c>
      <c r="V56" s="40">
        <v>1094</v>
      </c>
    </row>
    <row r="57" spans="2:22" s="40" customFormat="1" x14ac:dyDescent="0.2">
      <c r="B57" s="40" t="s">
        <v>80</v>
      </c>
      <c r="D57" s="41"/>
      <c r="F57" s="41"/>
      <c r="G57" s="40">
        <v>31</v>
      </c>
      <c r="H57" s="41"/>
      <c r="I57" s="40">
        <v>44</v>
      </c>
      <c r="J57" s="41"/>
      <c r="K57" s="40">
        <v>43</v>
      </c>
      <c r="L57" s="41"/>
      <c r="M57" s="40">
        <v>3</v>
      </c>
      <c r="N57" s="41"/>
      <c r="U57" s="40">
        <v>54</v>
      </c>
      <c r="V57" s="40">
        <v>38</v>
      </c>
    </row>
    <row r="58" spans="2:22" s="43" customFormat="1" x14ac:dyDescent="0.2">
      <c r="B58" s="43" t="s">
        <v>81</v>
      </c>
      <c r="D58" s="44"/>
      <c r="F58" s="44"/>
      <c r="G58" s="43">
        <v>103</v>
      </c>
      <c r="H58" s="44"/>
      <c r="I58" s="43">
        <v>96</v>
      </c>
      <c r="J58" s="44"/>
      <c r="K58" s="43">
        <v>31</v>
      </c>
      <c r="L58" s="44"/>
      <c r="M58" s="43">
        <v>56</v>
      </c>
      <c r="N58" s="44"/>
      <c r="U58" s="43">
        <v>37</v>
      </c>
      <c r="V58" s="43">
        <v>46</v>
      </c>
    </row>
    <row r="59" spans="2:22" s="43" customFormat="1" x14ac:dyDescent="0.2">
      <c r="B59" s="43" t="s">
        <v>82</v>
      </c>
      <c r="D59" s="44"/>
      <c r="F59" s="44"/>
      <c r="G59" s="43">
        <v>79</v>
      </c>
      <c r="H59" s="44"/>
      <c r="I59" s="43">
        <v>61</v>
      </c>
      <c r="J59" s="44"/>
      <c r="K59" s="43">
        <v>54</v>
      </c>
      <c r="L59" s="44"/>
      <c r="M59" s="43">
        <v>42</v>
      </c>
      <c r="N59" s="44"/>
      <c r="U59" s="43">
        <v>61</v>
      </c>
      <c r="V59" s="43">
        <v>44</v>
      </c>
    </row>
    <row r="60" spans="2:22" s="43" customFormat="1" x14ac:dyDescent="0.2">
      <c r="B60" s="43" t="s">
        <v>83</v>
      </c>
      <c r="D60" s="44"/>
      <c r="F60" s="44"/>
      <c r="G60" s="43">
        <v>8</v>
      </c>
      <c r="H60" s="44"/>
      <c r="I60" s="43">
        <v>9</v>
      </c>
      <c r="J60" s="44"/>
      <c r="K60" s="43">
        <v>14</v>
      </c>
      <c r="L60" s="44"/>
      <c r="M60" s="43">
        <v>14</v>
      </c>
      <c r="N60" s="44"/>
      <c r="U60" s="43">
        <v>14</v>
      </c>
      <c r="V60" s="43">
        <v>15</v>
      </c>
    </row>
    <row r="61" spans="2:22" s="43" customFormat="1" x14ac:dyDescent="0.2">
      <c r="B61" s="43" t="s">
        <v>84</v>
      </c>
      <c r="D61" s="44"/>
      <c r="F61" s="44"/>
      <c r="G61" s="43">
        <v>61</v>
      </c>
      <c r="H61" s="44"/>
      <c r="I61" s="43">
        <v>123</v>
      </c>
      <c r="J61" s="44"/>
      <c r="K61" s="43">
        <v>80</v>
      </c>
      <c r="L61" s="44"/>
      <c r="M61" s="43">
        <v>65</v>
      </c>
      <c r="N61" s="44"/>
      <c r="U61" s="43">
        <v>120</v>
      </c>
      <c r="V61" s="43">
        <v>98</v>
      </c>
    </row>
    <row r="62" spans="2:22" s="43" customFormat="1" x14ac:dyDescent="0.2">
      <c r="B62" s="43" t="s">
        <v>85</v>
      </c>
      <c r="D62" s="44"/>
      <c r="F62" s="44"/>
      <c r="G62" s="43">
        <f>+SUM(G56:G61)</f>
        <v>1541</v>
      </c>
      <c r="H62" s="44"/>
      <c r="I62" s="43">
        <f>+SUM(I56:I61)</f>
        <v>1484</v>
      </c>
      <c r="J62" s="44"/>
      <c r="K62" s="43">
        <f>+SUM(K56:K61)</f>
        <v>1530</v>
      </c>
      <c r="L62" s="44"/>
      <c r="M62" s="43">
        <f>+SUM(M56:M61)</f>
        <v>1480</v>
      </c>
      <c r="N62" s="44"/>
      <c r="U62" s="43">
        <f t="shared" ref="U62:V62" si="13">+SUM(U56:U61)</f>
        <v>1430</v>
      </c>
      <c r="V62" s="43">
        <f t="shared" si="13"/>
        <v>1335</v>
      </c>
    </row>
    <row r="63" spans="2:22" s="43" customFormat="1" x14ac:dyDescent="0.2">
      <c r="B63" s="43" t="s">
        <v>86</v>
      </c>
      <c r="D63" s="44"/>
      <c r="F63" s="44"/>
      <c r="G63" s="43">
        <v>1049</v>
      </c>
      <c r="H63" s="44"/>
      <c r="I63" s="43">
        <v>1234</v>
      </c>
      <c r="J63" s="44"/>
      <c r="K63" s="43">
        <v>1020</v>
      </c>
      <c r="L63" s="44"/>
      <c r="M63" s="43">
        <v>1036</v>
      </c>
      <c r="N63" s="44"/>
      <c r="U63" s="43">
        <v>1254</v>
      </c>
      <c r="V63" s="43">
        <v>1275</v>
      </c>
    </row>
    <row r="64" spans="2:22" s="40" customFormat="1" x14ac:dyDescent="0.2">
      <c r="B64" s="40" t="s">
        <v>79</v>
      </c>
      <c r="D64" s="41"/>
      <c r="F64" s="41"/>
      <c r="G64" s="40">
        <v>156</v>
      </c>
      <c r="H64" s="41"/>
      <c r="I64" s="40">
        <v>150</v>
      </c>
      <c r="J64" s="41"/>
      <c r="K64" s="40">
        <v>75</v>
      </c>
      <c r="L64" s="41"/>
      <c r="M64" s="40">
        <v>313</v>
      </c>
      <c r="N64" s="41"/>
      <c r="U64" s="40">
        <v>86</v>
      </c>
      <c r="V64" s="40">
        <v>67</v>
      </c>
    </row>
    <row r="65" spans="2:22" s="40" customFormat="1" x14ac:dyDescent="0.2">
      <c r="B65" s="40" t="s">
        <v>80</v>
      </c>
      <c r="D65" s="41"/>
      <c r="F65" s="41"/>
      <c r="G65" s="40">
        <v>8</v>
      </c>
      <c r="H65" s="41"/>
      <c r="I65" s="40">
        <v>10</v>
      </c>
      <c r="J65" s="41"/>
      <c r="K65" s="40">
        <v>5</v>
      </c>
      <c r="L65" s="41"/>
      <c r="M65" s="40">
        <v>44</v>
      </c>
      <c r="N65" s="41"/>
      <c r="U65" s="40">
        <v>11</v>
      </c>
      <c r="V65" s="40">
        <v>5</v>
      </c>
    </row>
    <row r="66" spans="2:22" s="43" customFormat="1" x14ac:dyDescent="0.2">
      <c r="B66" s="43" t="s">
        <v>87</v>
      </c>
      <c r="D66" s="44"/>
      <c r="F66" s="44"/>
      <c r="G66" s="43">
        <v>95</v>
      </c>
      <c r="H66" s="44"/>
      <c r="I66" s="43">
        <v>30</v>
      </c>
      <c r="J66" s="44"/>
      <c r="K66" s="43">
        <v>27</v>
      </c>
      <c r="L66" s="44"/>
      <c r="M66" s="43">
        <v>15</v>
      </c>
      <c r="N66" s="44"/>
      <c r="U66" s="43">
        <v>43</v>
      </c>
      <c r="V66" s="43">
        <v>32</v>
      </c>
    </row>
    <row r="67" spans="2:22" s="43" customFormat="1" x14ac:dyDescent="0.2">
      <c r="B67" s="43" t="s">
        <v>83</v>
      </c>
      <c r="D67" s="44"/>
      <c r="F67" s="44"/>
      <c r="G67" s="43">
        <v>26</v>
      </c>
      <c r="H67" s="44"/>
      <c r="I67" s="43">
        <v>28</v>
      </c>
      <c r="J67" s="44"/>
      <c r="K67" s="43">
        <v>37</v>
      </c>
      <c r="L67" s="44"/>
      <c r="M67" s="43">
        <v>10</v>
      </c>
      <c r="N67" s="44"/>
      <c r="U67" s="43">
        <v>85</v>
      </c>
      <c r="V67" s="43">
        <v>25</v>
      </c>
    </row>
    <row r="68" spans="2:22" s="43" customFormat="1" x14ac:dyDescent="0.2">
      <c r="B68" s="43" t="s">
        <v>108</v>
      </c>
      <c r="D68" s="44"/>
      <c r="F68" s="44"/>
      <c r="G68" s="43">
        <v>3</v>
      </c>
      <c r="H68" s="44"/>
      <c r="I68" s="43">
        <v>42</v>
      </c>
      <c r="J68" s="44"/>
      <c r="K68" s="43">
        <v>0</v>
      </c>
      <c r="L68" s="44"/>
      <c r="M68" s="43">
        <v>0</v>
      </c>
      <c r="N68" s="44"/>
      <c r="U68" s="43">
        <v>0</v>
      </c>
      <c r="V68" s="43">
        <v>0</v>
      </c>
    </row>
    <row r="69" spans="2:22" s="43" customFormat="1" x14ac:dyDescent="0.2">
      <c r="B69" s="43" t="s">
        <v>88</v>
      </c>
      <c r="D69" s="44"/>
      <c r="F69" s="44"/>
      <c r="G69" s="43">
        <f>+SUM(G62:G68)</f>
        <v>2878</v>
      </c>
      <c r="H69" s="44"/>
      <c r="I69" s="43">
        <f>+SUM(I62:I68)</f>
        <v>2978</v>
      </c>
      <c r="J69" s="44"/>
      <c r="K69" s="43">
        <f>+SUM(K62:K68)</f>
        <v>2694</v>
      </c>
      <c r="L69" s="44"/>
      <c r="M69" s="43">
        <f>+SUM(M62:M68)</f>
        <v>2898</v>
      </c>
      <c r="N69" s="44"/>
      <c r="U69" s="43">
        <f t="shared" ref="U69:V69" si="14">+SUM(U62:U68)</f>
        <v>2909</v>
      </c>
      <c r="V69" s="43">
        <f t="shared" si="14"/>
        <v>2739</v>
      </c>
    </row>
    <row r="71" spans="2:22" s="43" customFormat="1" x14ac:dyDescent="0.2">
      <c r="B71" s="43" t="s">
        <v>89</v>
      </c>
      <c r="D71" s="44"/>
      <c r="F71" s="44"/>
      <c r="G71" s="43">
        <v>4039</v>
      </c>
      <c r="H71" s="44"/>
      <c r="I71" s="43">
        <v>4492</v>
      </c>
      <c r="J71" s="44"/>
      <c r="K71" s="43">
        <v>4188</v>
      </c>
      <c r="L71" s="44"/>
      <c r="M71" s="43">
        <v>3811</v>
      </c>
      <c r="N71" s="44"/>
      <c r="U71" s="43">
        <v>4415</v>
      </c>
      <c r="V71" s="43">
        <v>3988</v>
      </c>
    </row>
    <row r="72" spans="2:22" x14ac:dyDescent="0.2">
      <c r="B72" s="1" t="s">
        <v>90</v>
      </c>
      <c r="G72" s="43">
        <f>+G71+G69</f>
        <v>6917</v>
      </c>
      <c r="I72" s="43">
        <f>+I71+I69</f>
        <v>7470</v>
      </c>
      <c r="K72" s="43">
        <f>+K71+K69</f>
        <v>6882</v>
      </c>
      <c r="M72" s="43">
        <f>+M71+M69</f>
        <v>6709</v>
      </c>
      <c r="U72" s="43">
        <f>+U71+U69</f>
        <v>7324</v>
      </c>
      <c r="V72" s="43">
        <f>+V71+V69</f>
        <v>6727</v>
      </c>
    </row>
    <row r="74" spans="2:22" x14ac:dyDescent="0.2">
      <c r="B74" s="1" t="s">
        <v>91</v>
      </c>
      <c r="G74" s="43">
        <f>+G54-G69</f>
        <v>4039</v>
      </c>
      <c r="I74" s="43">
        <f>+I54-I69</f>
        <v>4492</v>
      </c>
      <c r="K74" s="43">
        <f>+K54-K69</f>
        <v>4188</v>
      </c>
      <c r="M74" s="43">
        <f>+M54-M69</f>
        <v>3811</v>
      </c>
      <c r="U74" s="43">
        <f>+U54-U69</f>
        <v>4415</v>
      </c>
      <c r="V74" s="43">
        <f>+V54-V69</f>
        <v>3988</v>
      </c>
    </row>
    <row r="75" spans="2:22" x14ac:dyDescent="0.2">
      <c r="B75" s="1" t="s">
        <v>92</v>
      </c>
      <c r="G75" s="1">
        <f>+G74/G23</f>
        <v>5.3624535315985131</v>
      </c>
      <c r="I75" s="1">
        <f>+I74/I23</f>
        <v>5.9869385579101699</v>
      </c>
      <c r="K75" s="1">
        <f>+K74/K23</f>
        <v>5.8655462184873945</v>
      </c>
      <c r="M75" s="1">
        <f>+M74/M23</f>
        <v>5.6002939015429831</v>
      </c>
      <c r="U75" s="1">
        <f>+U74/U23</f>
        <v>5.981574312423791</v>
      </c>
      <c r="V75" s="1">
        <f>+V74/V23</f>
        <v>5.6050597329585381</v>
      </c>
    </row>
    <row r="77" spans="2:22" x14ac:dyDescent="0.2">
      <c r="B77" s="1" t="s">
        <v>6</v>
      </c>
      <c r="G77" s="43">
        <f>+G41+G43+G50+G52+G37+G39</f>
        <v>859</v>
      </c>
      <c r="I77" s="43">
        <f>+I41+I43+I50+I52+I37+I39</f>
        <v>642</v>
      </c>
      <c r="K77" s="43">
        <f>+K41+K43+K50+K52+K37+K39</f>
        <v>628</v>
      </c>
      <c r="M77" s="43">
        <f>+M41+M43+M50+M52+M37+M39</f>
        <v>618</v>
      </c>
      <c r="U77" s="43">
        <f>+U41+U43+U50+U52+U37+U39</f>
        <v>835</v>
      </c>
      <c r="V77" s="43">
        <f>+V41+V43+V50+V52+V37+V39</f>
        <v>604</v>
      </c>
    </row>
    <row r="78" spans="2:22" x14ac:dyDescent="0.2">
      <c r="B78" s="1" t="s">
        <v>7</v>
      </c>
      <c r="G78" s="43">
        <f>+G56+G57+G64+G65</f>
        <v>1454</v>
      </c>
      <c r="I78" s="43">
        <f>+I56+I57+I64+I65</f>
        <v>1355</v>
      </c>
      <c r="K78" s="43">
        <f>+K56+K57+K64+K65</f>
        <v>1431</v>
      </c>
      <c r="M78" s="43">
        <f>+M56+M57+M64+M65</f>
        <v>1660</v>
      </c>
      <c r="U78" s="43">
        <f>+U56+U57+U64+U65</f>
        <v>1295</v>
      </c>
      <c r="V78" s="43">
        <f>+V56+V57+V64+V65</f>
        <v>1204</v>
      </c>
    </row>
    <row r="79" spans="2:22" x14ac:dyDescent="0.2">
      <c r="B79" s="1" t="s">
        <v>8</v>
      </c>
      <c r="G79" s="43">
        <f>+G77-G78</f>
        <v>-595</v>
      </c>
      <c r="I79" s="43">
        <f>+I77-I78</f>
        <v>-713</v>
      </c>
      <c r="K79" s="43">
        <f>+K77-K78</f>
        <v>-803</v>
      </c>
      <c r="M79" s="43">
        <f>+M77-M78</f>
        <v>-1042</v>
      </c>
      <c r="U79" s="43">
        <f>+U77-U78</f>
        <v>-460</v>
      </c>
      <c r="V79" s="43">
        <f>+V77-V78</f>
        <v>-600</v>
      </c>
    </row>
    <row r="81" spans="2:22" x14ac:dyDescent="0.2">
      <c r="B81" s="1" t="s">
        <v>100</v>
      </c>
    </row>
    <row r="82" spans="2:22" x14ac:dyDescent="0.2">
      <c r="B82" s="1" t="s">
        <v>5</v>
      </c>
    </row>
    <row r="83" spans="2:22" x14ac:dyDescent="0.2">
      <c r="B83" s="1" t="s">
        <v>9</v>
      </c>
    </row>
    <row r="85" spans="2:22" x14ac:dyDescent="0.2">
      <c r="B85" s="1" t="s">
        <v>93</v>
      </c>
    </row>
    <row r="86" spans="2:22" x14ac:dyDescent="0.2">
      <c r="B86" s="1" t="s">
        <v>96</v>
      </c>
    </row>
    <row r="87" spans="2:22" x14ac:dyDescent="0.2">
      <c r="B87" s="1" t="s">
        <v>97</v>
      </c>
    </row>
    <row r="88" spans="2:22" x14ac:dyDescent="0.2">
      <c r="B88" s="1" t="s">
        <v>98</v>
      </c>
    </row>
    <row r="89" spans="2:22" x14ac:dyDescent="0.2">
      <c r="B89" s="1" t="s">
        <v>99</v>
      </c>
    </row>
    <row r="92" spans="2:22" x14ac:dyDescent="0.2">
      <c r="B92" s="52" t="s">
        <v>101</v>
      </c>
    </row>
    <row r="93" spans="2:22" x14ac:dyDescent="0.2">
      <c r="B93" s="1" t="s">
        <v>102</v>
      </c>
      <c r="G93" s="1">
        <v>-75</v>
      </c>
      <c r="I93" s="1">
        <v>-33</v>
      </c>
      <c r="J93" s="32">
        <f>+U93-I93</f>
        <v>560</v>
      </c>
      <c r="K93" s="1">
        <v>106</v>
      </c>
      <c r="L93" s="32">
        <f>682-K93</f>
        <v>576</v>
      </c>
      <c r="M93" s="1">
        <v>185</v>
      </c>
      <c r="U93" s="1">
        <v>527</v>
      </c>
      <c r="V93" s="1">
        <v>682</v>
      </c>
    </row>
    <row r="94" spans="2:22" x14ac:dyDescent="0.2">
      <c r="B94" s="1" t="s">
        <v>104</v>
      </c>
      <c r="G94" s="1">
        <f>-31+0</f>
        <v>-31</v>
      </c>
      <c r="I94" s="1">
        <f>-21+14</f>
        <v>-7</v>
      </c>
      <c r="J94" s="32">
        <f>+U94-I94</f>
        <v>50</v>
      </c>
      <c r="K94" s="1">
        <v>16</v>
      </c>
      <c r="L94" s="32">
        <f>30-K94</f>
        <v>14</v>
      </c>
      <c r="M94" s="1">
        <v>18</v>
      </c>
      <c r="U94" s="1">
        <f>57-14</f>
        <v>43</v>
      </c>
      <c r="V94" s="1">
        <f>30-5</f>
        <v>25</v>
      </c>
    </row>
    <row r="95" spans="2:22" x14ac:dyDescent="0.2">
      <c r="B95" s="1" t="s">
        <v>103</v>
      </c>
      <c r="G95" s="1">
        <f>+G93-G94</f>
        <v>-44</v>
      </c>
      <c r="I95" s="1">
        <f>+I93-I94</f>
        <v>-26</v>
      </c>
      <c r="J95" s="32">
        <f>+J93-J94</f>
        <v>510</v>
      </c>
      <c r="K95" s="1">
        <f>+K93-K94</f>
        <v>90</v>
      </c>
      <c r="L95" s="32">
        <f>+L93-L94</f>
        <v>562</v>
      </c>
      <c r="M95" s="1">
        <f>+M93-M94</f>
        <v>167</v>
      </c>
      <c r="U95" s="1">
        <f>+U93-U94</f>
        <v>484</v>
      </c>
      <c r="V95" s="1">
        <f>+V93-V94</f>
        <v>657</v>
      </c>
    </row>
    <row r="97" spans="2:22" x14ac:dyDescent="0.2">
      <c r="B97" s="1" t="s">
        <v>105</v>
      </c>
      <c r="G97" s="1">
        <f>G95/G23</f>
        <v>-5.8417419012214547E-2</v>
      </c>
      <c r="I97" s="1">
        <f>I95/I23</f>
        <v>-3.4652805544448891E-2</v>
      </c>
      <c r="J97" s="32">
        <f>+J95/J23</f>
        <v>0.69096328410784447</v>
      </c>
      <c r="K97" s="1">
        <f>K95/K23</f>
        <v>0.12605042016806722</v>
      </c>
      <c r="L97" s="32">
        <f>+L95/L23</f>
        <v>0.78988053408292336</v>
      </c>
      <c r="M97" s="1">
        <f>M95/M23</f>
        <v>0.24540778839088906</v>
      </c>
      <c r="U97" s="1">
        <f>U95/U23</f>
        <v>0.65573770491803274</v>
      </c>
      <c r="V97" s="1">
        <f>V95/V23</f>
        <v>0.9234012649332396</v>
      </c>
    </row>
    <row r="98" spans="2:22" x14ac:dyDescent="0.2">
      <c r="B98" s="1" t="s">
        <v>106</v>
      </c>
    </row>
  </sheetData>
  <hyperlinks>
    <hyperlink ref="M1" r:id="rId1" xr:uid="{68C95B78-249F-47B5-8B7A-B7B863B06330}"/>
    <hyperlink ref="V1" r:id="rId2" xr:uid="{183DACC3-FEFD-4A0B-921A-1E3AC2880240}"/>
    <hyperlink ref="I1" r:id="rId3" xr:uid="{B19214BF-F5F1-4AE0-8DB6-BB425A6F3380}"/>
    <hyperlink ref="T1" r:id="rId4" xr:uid="{985A7212-9E0B-4F2A-AC04-6765B6F61A5F}"/>
  </hyperlinks>
  <pageMargins left="0.7" right="0.7" top="0.75" bottom="0.75" header="0.3" footer="0.3"/>
  <ignoredErrors>
    <ignoredError sqref="M10 V10 T10" formulaRange="1"/>
    <ignoredError sqref="J97:M98 H12 K22 J12:J22 L10:L22 H23:L24 H10:H11 H14:I22 K12:K21 J10:K11 H13" formula="1"/>
    <ignoredError sqref="I12 I13 I10:I11" formula="1" formulaRange="1"/>
  </ignoredErrors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2024-11-07T11:42:28Z</dcterms:created>
  <dcterms:modified xsi:type="dcterms:W3CDTF">2024-11-07T14:35:45Z</dcterms:modified>
</cp:coreProperties>
</file>