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1525A01-20FA-4FAE-A1C2-E1BDB7679335}" xr6:coauthVersionLast="36" xr6:coauthVersionMax="36" xr10:uidLastSave="{00000000-0000-0000-0000-000000000000}"/>
  <bookViews>
    <workbookView xWindow="0" yWindow="0" windowWidth="28800" windowHeight="12225" xr2:uid="{07A47022-C50C-40F5-94BD-B152A09AB513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Y21" i="2"/>
  <c r="Y6" i="2"/>
  <c r="N6" i="2"/>
  <c r="M6" i="2"/>
  <c r="W21" i="2"/>
  <c r="X21" i="2"/>
  <c r="V18" i="2"/>
  <c r="W18" i="2"/>
  <c r="C37" i="1"/>
  <c r="K90" i="2"/>
  <c r="L90" i="2"/>
  <c r="J88" i="2"/>
  <c r="K88" i="2"/>
  <c r="L88" i="2"/>
  <c r="L87" i="2"/>
  <c r="K87" i="2"/>
  <c r="J87" i="2"/>
  <c r="J85" i="2"/>
  <c r="J84" i="2"/>
  <c r="J83" i="2"/>
  <c r="J75" i="2"/>
  <c r="V88" i="2"/>
  <c r="W88" i="2"/>
  <c r="X88" i="2"/>
  <c r="V87" i="2"/>
  <c r="W87" i="2"/>
  <c r="X87" i="2"/>
  <c r="V85" i="2"/>
  <c r="W85" i="2"/>
  <c r="X85" i="2"/>
  <c r="V84" i="2"/>
  <c r="W84" i="2"/>
  <c r="X84" i="2"/>
  <c r="K22" i="2"/>
  <c r="J22" i="2"/>
  <c r="J27" i="2"/>
  <c r="J26" i="2"/>
  <c r="J25" i="2"/>
  <c r="J24" i="2"/>
  <c r="J2" i="2"/>
  <c r="J18" i="2"/>
  <c r="J16" i="2"/>
  <c r="J14" i="2"/>
  <c r="J13" i="2"/>
  <c r="J11" i="2"/>
  <c r="J10" i="2"/>
  <c r="J9" i="2"/>
  <c r="J7" i="2"/>
  <c r="J5" i="2"/>
  <c r="J4" i="2"/>
  <c r="J19" i="2"/>
  <c r="X18" i="2"/>
  <c r="Z17" i="2"/>
  <c r="U17" i="2"/>
  <c r="T17" i="2"/>
  <c r="S17" i="2"/>
  <c r="Z15" i="2"/>
  <c r="U15" i="2"/>
  <c r="T15" i="2"/>
  <c r="S15" i="2"/>
  <c r="Z12" i="2"/>
  <c r="Y12" i="2"/>
  <c r="Y15" i="2" s="1"/>
  <c r="Y17" i="2" s="1"/>
  <c r="U12" i="2"/>
  <c r="T12" i="2"/>
  <c r="S12" i="2"/>
  <c r="Z8" i="2"/>
  <c r="Y8" i="2"/>
  <c r="V8" i="2"/>
  <c r="V12" i="2" s="1"/>
  <c r="V15" i="2" s="1"/>
  <c r="V17" i="2" s="1"/>
  <c r="U8" i="2"/>
  <c r="T8" i="2"/>
  <c r="S8" i="2"/>
  <c r="Z6" i="2"/>
  <c r="X6" i="2"/>
  <c r="X8" i="2" s="1"/>
  <c r="X12" i="2" s="1"/>
  <c r="X15" i="2" s="1"/>
  <c r="X17" i="2" s="1"/>
  <c r="W6" i="2"/>
  <c r="W8" i="2" s="1"/>
  <c r="W12" i="2" s="1"/>
  <c r="W15" i="2" s="1"/>
  <c r="W17" i="2" s="1"/>
  <c r="V6" i="2"/>
  <c r="U6" i="2"/>
  <c r="T6" i="2"/>
  <c r="S6" i="2"/>
  <c r="I85" i="2"/>
  <c r="I84" i="2"/>
  <c r="H83" i="2"/>
  <c r="I83" i="2" s="1"/>
  <c r="I78" i="2"/>
  <c r="I75" i="2"/>
  <c r="I76" i="2" s="1"/>
  <c r="I72" i="2"/>
  <c r="I70" i="2"/>
  <c r="I68" i="2"/>
  <c r="I67" i="2"/>
  <c r="I65" i="2"/>
  <c r="I49" i="2"/>
  <c r="I36" i="2"/>
  <c r="E6" i="2"/>
  <c r="E8" i="2" s="1"/>
  <c r="I6" i="2"/>
  <c r="I22" i="2"/>
  <c r="H17" i="2"/>
  <c r="G17" i="2"/>
  <c r="F17" i="2"/>
  <c r="D17" i="2"/>
  <c r="C17" i="2"/>
  <c r="H15" i="2"/>
  <c r="G15" i="2"/>
  <c r="F15" i="2"/>
  <c r="D15" i="2"/>
  <c r="C15" i="2"/>
  <c r="H12" i="2"/>
  <c r="G12" i="2"/>
  <c r="F12" i="2"/>
  <c r="D12" i="2"/>
  <c r="C12" i="2"/>
  <c r="I8" i="2"/>
  <c r="I24" i="2" s="1"/>
  <c r="H8" i="2"/>
  <c r="G8" i="2"/>
  <c r="F8" i="2"/>
  <c r="D8" i="2"/>
  <c r="C8" i="2"/>
  <c r="J6" i="2"/>
  <c r="J8" i="2" s="1"/>
  <c r="H6" i="2"/>
  <c r="H22" i="2" s="1"/>
  <c r="G6" i="2"/>
  <c r="F6" i="2"/>
  <c r="D6" i="2"/>
  <c r="C6" i="2"/>
  <c r="C7" i="1"/>
  <c r="D11" i="1"/>
  <c r="D10" i="1"/>
  <c r="D9" i="1"/>
  <c r="D7" i="1"/>
  <c r="K78" i="2"/>
  <c r="L78" i="2"/>
  <c r="K76" i="2"/>
  <c r="L76" i="2"/>
  <c r="K75" i="2"/>
  <c r="L75" i="2"/>
  <c r="K30" i="2"/>
  <c r="J30" i="2"/>
  <c r="I30" i="2"/>
  <c r="H30" i="2"/>
  <c r="G30" i="2"/>
  <c r="K36" i="2" s="1"/>
  <c r="F30" i="2"/>
  <c r="E30" i="2"/>
  <c r="D30" i="2"/>
  <c r="C30" i="2"/>
  <c r="L30" i="2"/>
  <c r="C27" i="1"/>
  <c r="L6" i="2"/>
  <c r="K6" i="2"/>
  <c r="H85" i="2"/>
  <c r="H84" i="2"/>
  <c r="G85" i="2"/>
  <c r="G84" i="2"/>
  <c r="L85" i="2"/>
  <c r="L84" i="2"/>
  <c r="L83" i="2"/>
  <c r="K85" i="2"/>
  <c r="K84" i="2"/>
  <c r="K70" i="2"/>
  <c r="K72" i="2" s="1"/>
  <c r="K67" i="2"/>
  <c r="K68" i="2" s="1"/>
  <c r="K65" i="2"/>
  <c r="K49" i="2"/>
  <c r="L22" i="2"/>
  <c r="K21" i="2"/>
  <c r="J62" i="2"/>
  <c r="H62" i="2"/>
  <c r="G62" i="2"/>
  <c r="C62" i="2"/>
  <c r="K58" i="2"/>
  <c r="K62" i="2" s="1"/>
  <c r="J58" i="2"/>
  <c r="I58" i="2"/>
  <c r="I62" i="2" s="1"/>
  <c r="H58" i="2"/>
  <c r="G58" i="2"/>
  <c r="C58" i="2"/>
  <c r="J52" i="2"/>
  <c r="H52" i="2"/>
  <c r="G52" i="2"/>
  <c r="C52" i="2"/>
  <c r="K45" i="2"/>
  <c r="K52" i="2" s="1"/>
  <c r="J45" i="2"/>
  <c r="I45" i="2"/>
  <c r="I52" i="2" s="1"/>
  <c r="H45" i="2"/>
  <c r="G45" i="2"/>
  <c r="C45" i="2"/>
  <c r="C10" i="1"/>
  <c r="L70" i="2"/>
  <c r="C9" i="1" s="1"/>
  <c r="L62" i="2"/>
  <c r="L65" i="2" s="1"/>
  <c r="L58" i="2"/>
  <c r="L52" i="2"/>
  <c r="L49" i="2"/>
  <c r="L45" i="2"/>
  <c r="K8" i="2"/>
  <c r="K12" i="2" s="1"/>
  <c r="K15" i="2" s="1"/>
  <c r="K17" i="2" s="1"/>
  <c r="K26" i="2" s="1"/>
  <c r="G26" i="2"/>
  <c r="L8" i="2"/>
  <c r="L12" i="2" s="1"/>
  <c r="L15" i="2" s="1"/>
  <c r="L17" i="2" s="1"/>
  <c r="L26" i="2" s="1"/>
  <c r="C8" i="1"/>
  <c r="J12" i="2" l="1"/>
  <c r="J15" i="2" s="1"/>
  <c r="J17" i="2" s="1"/>
  <c r="E12" i="2"/>
  <c r="E24" i="2"/>
  <c r="I21" i="2"/>
  <c r="I12" i="2"/>
  <c r="K27" i="2"/>
  <c r="L36" i="2"/>
  <c r="C11" i="1"/>
  <c r="L21" i="2"/>
  <c r="H26" i="2"/>
  <c r="L24" i="2"/>
  <c r="G18" i="2"/>
  <c r="G27" i="2"/>
  <c r="G24" i="2"/>
  <c r="G25" i="2"/>
  <c r="K18" i="2"/>
  <c r="K24" i="2"/>
  <c r="K25" i="2"/>
  <c r="L67" i="2"/>
  <c r="L68" i="2" s="1"/>
  <c r="C34" i="1" s="1"/>
  <c r="L72" i="2"/>
  <c r="C12" i="1"/>
  <c r="L18" i="2"/>
  <c r="L27" i="2"/>
  <c r="L25" i="2"/>
  <c r="E15" i="2" l="1"/>
  <c r="E25" i="2"/>
  <c r="I15" i="2"/>
  <c r="I25" i="2"/>
  <c r="H24" i="2"/>
  <c r="H18" i="2"/>
  <c r="H27" i="2"/>
  <c r="H25" i="2"/>
  <c r="E17" i="2" l="1"/>
  <c r="E27" i="2"/>
  <c r="I17" i="2"/>
  <c r="I27" i="2"/>
  <c r="E26" i="2" l="1"/>
  <c r="E18" i="2"/>
  <c r="I18" i="2"/>
  <c r="I26" i="2"/>
</calcChain>
</file>

<file path=xl/sharedStrings.xml><?xml version="1.0" encoding="utf-8"?>
<sst xmlns="http://schemas.openxmlformats.org/spreadsheetml/2006/main" count="139" uniqueCount="124">
  <si>
    <t>$SNOW</t>
  </si>
  <si>
    <t>Snowflake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</si>
  <si>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</si>
  <si>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</si>
  <si>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</si>
  <si>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</si>
  <si>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</si>
  <si>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</si>
  <si>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</si>
  <si>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</si>
  <si>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</si>
  <si>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</si>
  <si>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</si>
  <si>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</si>
  <si>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Founder</t>
  </si>
  <si>
    <t>Profile</t>
  </si>
  <si>
    <t>HQ</t>
  </si>
  <si>
    <t>Founded</t>
  </si>
  <si>
    <t>IPO</t>
  </si>
  <si>
    <t>Update</t>
  </si>
  <si>
    <t>IR</t>
  </si>
  <si>
    <t>Link</t>
  </si>
  <si>
    <t>Q124</t>
  </si>
  <si>
    <t>Q224</t>
  </si>
  <si>
    <t>Q324</t>
  </si>
  <si>
    <t>Q424</t>
  </si>
  <si>
    <t>Q423</t>
  </si>
  <si>
    <t>Q323</t>
  </si>
  <si>
    <t>Q223</t>
  </si>
  <si>
    <t>Q123</t>
  </si>
  <si>
    <t>FY18</t>
  </si>
  <si>
    <t>FY19</t>
  </si>
  <si>
    <t>FY20</t>
  </si>
  <si>
    <t>FY21</t>
  </si>
  <si>
    <t>FY22</t>
  </si>
  <si>
    <t>FY23</t>
  </si>
  <si>
    <t>FY24</t>
  </si>
  <si>
    <t>FY25</t>
  </si>
  <si>
    <t>Cloud based data storage, data analysis &amp; other data operations</t>
  </si>
  <si>
    <t>Bozeman, MT</t>
  </si>
  <si>
    <t>Key Events</t>
  </si>
  <si>
    <t>Company becmae a "distributed company" and relocated main HQ to Bozeman MT</t>
  </si>
  <si>
    <t>as a result of COVID-19 pandemic</t>
  </si>
  <si>
    <t>Frank Slootman retires as CEO and replaced by Sridhar Ramaswamy</t>
  </si>
  <si>
    <t>Sridhar Ramaswamy</t>
  </si>
  <si>
    <t>Hosting Provider</t>
  </si>
  <si>
    <t>AWS</t>
  </si>
  <si>
    <t>Since 2014</t>
  </si>
  <si>
    <t>Azure</t>
  </si>
  <si>
    <t>Since 2018</t>
  </si>
  <si>
    <t>GCP</t>
  </si>
  <si>
    <t>Since 2019</t>
  </si>
  <si>
    <t>Revenue</t>
  </si>
  <si>
    <t>COGS</t>
  </si>
  <si>
    <t>Gross Profit</t>
  </si>
  <si>
    <t>S&amp;M</t>
  </si>
  <si>
    <t>R&amp;D</t>
  </si>
  <si>
    <t>G&amp;A</t>
  </si>
  <si>
    <t>Operating Income</t>
  </si>
  <si>
    <t>Interest Income</t>
  </si>
  <si>
    <t>Interest Expense</t>
  </si>
  <si>
    <t>Pretax Income</t>
  </si>
  <si>
    <t>Taxes</t>
  </si>
  <si>
    <t>Net Income</t>
  </si>
  <si>
    <t>EPS</t>
  </si>
  <si>
    <t>Gross Margin</t>
  </si>
  <si>
    <t>Operating Margin</t>
  </si>
  <si>
    <t xml:space="preserve">Net Margin </t>
  </si>
  <si>
    <t>Tax Rate</t>
  </si>
  <si>
    <t>Revenue Y/Y</t>
  </si>
  <si>
    <t>Revenue Q/Q</t>
  </si>
  <si>
    <t>Balance Sheet</t>
  </si>
  <si>
    <t>Short Term Investments</t>
  </si>
  <si>
    <t>A/R</t>
  </si>
  <si>
    <t>Deferred Commissions</t>
  </si>
  <si>
    <t>Prepaid Expenses &amp; OCA</t>
  </si>
  <si>
    <t>TCA</t>
  </si>
  <si>
    <t>Long-Term Investments</t>
  </si>
  <si>
    <t>PP&amp;E</t>
  </si>
  <si>
    <t>Operating Lease ROU</t>
  </si>
  <si>
    <t>Goodwill+Intangibles</t>
  </si>
  <si>
    <t>Other Assets</t>
  </si>
  <si>
    <t>Assets</t>
  </si>
  <si>
    <t>A/P</t>
  </si>
  <si>
    <t>Accrued Expenses</t>
  </si>
  <si>
    <t>Operating Lease Liabilities</t>
  </si>
  <si>
    <t>Deferred Revenue</t>
  </si>
  <si>
    <t>TCL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</si>
  <si>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</si>
  <si>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</si>
  <si>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</si>
  <si>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</si>
  <si>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</si>
  <si>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</si>
  <si>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</si>
  <si>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</si>
  <si>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</si>
  <si>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P/E</t>
  </si>
  <si>
    <t>Valuation Metrics</t>
  </si>
  <si>
    <t>Cashflow</t>
  </si>
  <si>
    <t>CFFO</t>
  </si>
  <si>
    <t>CapEx</t>
  </si>
  <si>
    <t>FCF</t>
  </si>
  <si>
    <t>FCF per Share</t>
  </si>
  <si>
    <t>FCF TTM</t>
  </si>
  <si>
    <t>Price to FCF</t>
  </si>
  <si>
    <t>Q422</t>
  </si>
  <si>
    <t>Q322</t>
  </si>
  <si>
    <t>Q222</t>
  </si>
  <si>
    <t>Q122</t>
  </si>
  <si>
    <t>Non-Finance Metrics</t>
  </si>
  <si>
    <t>Headount</t>
  </si>
  <si>
    <t>Product</t>
  </si>
  <si>
    <t>Professional Services</t>
  </si>
  <si>
    <t>Headcout Y/Y</t>
  </si>
  <si>
    <t>Headcount</t>
  </si>
  <si>
    <t>Product Revenue</t>
  </si>
  <si>
    <t>Sales &amp; Marketing</t>
  </si>
  <si>
    <t>Research &amp; Development</t>
  </si>
  <si>
    <t>General &amp; Administrative</t>
  </si>
  <si>
    <t>Significant databreach impacting high profile clients</t>
  </si>
  <si>
    <t>31/10/222</t>
  </si>
  <si>
    <t>Stockopedia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</si>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</sst>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4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 applyBorder="1"/>
    <xf numFmtId="3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4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6" fillId="0" borderId="0" xfId="0" applyFont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173" fontId="1" fillId="4" borderId="0" xfId="0" applyNumberFormat="1" applyFont="1" applyFill="1" applyBorder="1" applyAlignment="1">
      <alignment horizontal="center"/>
    </xf>
    <xf numFmtId="173" fontId="1" fillId="4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indent="1"/>
    </xf>
    <xf numFmtId="9" fontId="7" fillId="0" borderId="0" xfId="0" applyNumberFormat="1" applyFont="1"/>
    <xf numFmtId="3" fontId="1" fillId="0" borderId="0" xfId="0" applyNumberFormat="1" applyFont="1" applyAlignment="1">
      <alignment horizontal="left" indent="1"/>
    </xf>
    <xf numFmtId="3" fontId="8" fillId="0" borderId="0" xfId="0" applyNumberFormat="1" applyFont="1" applyAlignment="1">
      <alignment horizontal="left" indent="1"/>
    </xf>
    <xf numFmtId="3" fontId="8" fillId="0" borderId="0" xfId="0" applyNumberFormat="1" applyFont="1"/>
    <xf numFmtId="3" fontId="1" fillId="4" borderId="0" xfId="0" applyNumberFormat="1" applyFont="1" applyFill="1" applyBorder="1" applyAlignment="1">
      <alignment horizontal="center"/>
    </xf>
    <xf numFmtId="17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400051</xdr:colOff>
      <xdr:row>0</xdr:row>
      <xdr:rowOff>117199</xdr:rowOff>
    </xdr:from>
    <xdr:to>
      <xdr:col>4</xdr:col>
      <xdr:colOff>476251</xdr:colOff>
      <xdr:row>3</xdr:row>
      <xdr:rowOff>12424</xdr:rowOff>
    </xdr:to>
    <xdr:pic>
      <xdr:nvPicPr>
        <xdr:cNvPr id="3" name="Picture 2" descr="snowflake logo v2.jpg">
          <a:extLst>
            <a:ext uri="{FF2B5EF4-FFF2-40B4-BE49-F238E27FC236}">
              <a16:creationId xmlns:a16="http://schemas.microsoft.com/office/drawing/2014/main" id="{26599D71-62EC-497B-AF6F-DB3B4A172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1" y="117199"/>
          <a:ext cx="13144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1640147/000164014723000260/snow-20231031.htm" TargetMode="External"/><Relationship Id="rId2" Type="http://schemas.openxmlformats.org/officeDocument/2006/relationships/hyperlink" Target="https://www.sec.gov/ix?doc=/Archives/edgar/data/1640147/000164014724000135/snow-20240430.htm" TargetMode="External"/><Relationship Id="rId1" Type="http://schemas.openxmlformats.org/officeDocument/2006/relationships/hyperlink" Target="https://www.sec.gov/ix?doc=/Archives/edgar/data/1640147/000164014724000207/snow-20240731.htm" TargetMode="External"/><Relationship Id="rId5" Type="http://schemas.openxmlformats.org/officeDocument/2006/relationships/hyperlink" Target="https://www.sec.gov/ix?doc=/Archives/edgar/data/1640147/000164014724000101/snow-20240131.htm" TargetMode="External"/><Relationship Id="rId4" Type="http://schemas.openxmlformats.org/officeDocument/2006/relationships/hyperlink" Target="https://www.sec.gov/ix?doc=/Archives/edgar/data/1640147/000164014724000101/snow-202401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45FC-C958-4377-A508-4BB5D958D24C}">
  <dimension ref="B2:T38"/>
  <sheetViews>
    <sheetView tabSelected="1" workbookViewId="0">
      <selection activeCell="C35" sqref="C35:D35"/>
    </sheetView>
  </sheetViews>
  <sheetFormatPr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2:20" x14ac:dyDescent="0.2">
      <c r="B2" s="2" t="s">
        <v>0</v>
      </c>
      <c r="F2" s="1" t="s">
        <v>38</v>
      </c>
    </row>
    <row r="3" spans="2:20" x14ac:dyDescent="0.2">
      <c r="B3" s="2" t="s">
        <v>1</v>
      </c>
    </row>
    <row r="5" spans="2:20" x14ac:dyDescent="0.2">
      <c r="B5" s="3" t="s">
        <v>2</v>
      </c>
      <c r="C5" s="4"/>
      <c r="D5" s="5"/>
      <c r="G5" s="3" t="s">
        <v>40</v>
      </c>
      <c r="H5" s="4"/>
      <c r="I5" s="4"/>
      <c r="J5" s="4"/>
      <c r="K5" s="4"/>
      <c r="L5" s="4"/>
      <c r="M5" s="4"/>
      <c r="N5" s="4"/>
      <c r="O5" s="5"/>
      <c r="S5" s="2" t="s">
        <v>45</v>
      </c>
    </row>
    <row r="6" spans="2:20" x14ac:dyDescent="0.2">
      <c r="B6" s="6" t="s">
        <v>3</v>
      </c>
      <c r="C6" s="7">
        <v>130.24</v>
      </c>
      <c r="D6" s="9"/>
      <c r="G6" s="19"/>
      <c r="H6" s="23"/>
      <c r="I6" s="23"/>
      <c r="J6" s="23"/>
      <c r="K6" s="23"/>
      <c r="L6" s="23"/>
      <c r="M6" s="23"/>
      <c r="N6" s="23"/>
      <c r="O6" s="24"/>
      <c r="S6" s="1" t="s">
        <v>46</v>
      </c>
      <c r="T6" s="1" t="s">
        <v>47</v>
      </c>
    </row>
    <row r="7" spans="2:20" x14ac:dyDescent="0.2">
      <c r="B7" s="6" t="s">
        <v>4</v>
      </c>
      <c r="C7" s="11">
        <f>+'Financial Model'!L19</f>
        <v>334.07100000000003</v>
      </c>
      <c r="D7" s="9" t="str">
        <f>+$C$29</f>
        <v>Q224</v>
      </c>
      <c r="G7" s="19"/>
      <c r="H7" s="23"/>
      <c r="I7" s="23"/>
      <c r="J7" s="23"/>
      <c r="K7" s="23"/>
      <c r="L7" s="23"/>
      <c r="M7" s="23"/>
      <c r="N7" s="23"/>
      <c r="O7" s="24"/>
      <c r="S7" s="1" t="s">
        <v>48</v>
      </c>
      <c r="T7" s="1" t="s">
        <v>49</v>
      </c>
    </row>
    <row r="8" spans="2:20" x14ac:dyDescent="0.2">
      <c r="B8" s="6" t="s">
        <v>5</v>
      </c>
      <c r="C8" s="11">
        <f>C6*C7</f>
        <v>43509.407040000006</v>
      </c>
      <c r="D8" s="9"/>
      <c r="G8" s="19"/>
      <c r="H8" s="23"/>
      <c r="I8" s="23"/>
      <c r="J8" s="23"/>
      <c r="K8" s="23"/>
      <c r="L8" s="23"/>
      <c r="M8" s="23"/>
      <c r="N8" s="23"/>
      <c r="O8" s="24"/>
      <c r="S8" s="1" t="s">
        <v>50</v>
      </c>
      <c r="T8" s="1" t="s">
        <v>51</v>
      </c>
    </row>
    <row r="9" spans="2:20" x14ac:dyDescent="0.2">
      <c r="B9" s="6" t="s">
        <v>6</v>
      </c>
      <c r="C9" s="11">
        <f>+'Financial Model'!L70</f>
        <v>3927.913</v>
      </c>
      <c r="D9" s="9" t="str">
        <f t="shared" ref="D9:D11" si="0">+$C$29</f>
        <v>Q224</v>
      </c>
      <c r="G9" s="27">
        <v>45323</v>
      </c>
      <c r="H9" s="23" t="s">
        <v>43</v>
      </c>
      <c r="I9" s="23"/>
      <c r="J9" s="23"/>
      <c r="K9" s="23"/>
      <c r="L9" s="23"/>
      <c r="M9" s="23"/>
      <c r="N9" s="23"/>
      <c r="O9" s="24"/>
    </row>
    <row r="10" spans="2:20" x14ac:dyDescent="0.2">
      <c r="B10" s="6" t="s">
        <v>7</v>
      </c>
      <c r="C10" s="11">
        <f>+'Financial Model'!L71</f>
        <v>0</v>
      </c>
      <c r="D10" s="9" t="str">
        <f t="shared" si="0"/>
        <v>Q224</v>
      </c>
      <c r="G10" s="19"/>
      <c r="H10" s="23"/>
      <c r="I10" s="23"/>
      <c r="J10" s="23"/>
      <c r="K10" s="23"/>
      <c r="L10" s="23"/>
      <c r="M10" s="23"/>
      <c r="N10" s="23"/>
      <c r="O10" s="24"/>
    </row>
    <row r="11" spans="2:20" x14ac:dyDescent="0.2">
      <c r="B11" s="6" t="s">
        <v>8</v>
      </c>
      <c r="C11" s="11">
        <f>C9-C10</f>
        <v>3927.913</v>
      </c>
      <c r="D11" s="9" t="str">
        <f t="shared" si="0"/>
        <v>Q224</v>
      </c>
      <c r="G11" s="19"/>
      <c r="H11" s="23"/>
      <c r="I11" s="23"/>
      <c r="J11" s="23"/>
      <c r="K11" s="23"/>
      <c r="L11" s="23"/>
      <c r="M11" s="23"/>
      <c r="N11" s="23"/>
      <c r="O11" s="24"/>
    </row>
    <row r="12" spans="2:20" x14ac:dyDescent="0.2">
      <c r="B12" s="8" t="s">
        <v>9</v>
      </c>
      <c r="C12" s="12">
        <f>+C8-C11</f>
        <v>39581.494040000005</v>
      </c>
      <c r="D12" s="10"/>
      <c r="G12" s="19">
        <v>2024</v>
      </c>
      <c r="H12" s="23" t="s">
        <v>120</v>
      </c>
      <c r="I12" s="23"/>
      <c r="J12" s="23"/>
      <c r="K12" s="23"/>
      <c r="L12" s="23"/>
      <c r="M12" s="23"/>
      <c r="N12" s="23"/>
      <c r="O12" s="24"/>
    </row>
    <row r="13" spans="2:20" x14ac:dyDescent="0.2">
      <c r="G13" s="19"/>
      <c r="H13" s="23"/>
      <c r="I13" s="23"/>
      <c r="J13" s="23"/>
      <c r="K13" s="23"/>
      <c r="L13" s="23"/>
      <c r="M13" s="23"/>
      <c r="N13" s="23"/>
      <c r="O13" s="24"/>
    </row>
    <row r="14" spans="2:20" x14ac:dyDescent="0.2">
      <c r="G14" s="19"/>
      <c r="H14" s="23"/>
      <c r="I14" s="23"/>
      <c r="J14" s="23"/>
      <c r="K14" s="23"/>
      <c r="L14" s="23"/>
      <c r="M14" s="23"/>
      <c r="N14" s="23"/>
      <c r="O14" s="24"/>
    </row>
    <row r="15" spans="2:20" x14ac:dyDescent="0.2">
      <c r="B15" s="3" t="s">
        <v>10</v>
      </c>
      <c r="C15" s="4"/>
      <c r="D15" s="5"/>
      <c r="G15" s="19"/>
      <c r="H15" s="23"/>
      <c r="I15" s="23"/>
      <c r="J15" s="23"/>
      <c r="K15" s="23"/>
      <c r="L15" s="23"/>
      <c r="M15" s="23"/>
      <c r="N15" s="23"/>
      <c r="O15" s="24"/>
    </row>
    <row r="16" spans="2:20" x14ac:dyDescent="0.2">
      <c r="B16" s="13" t="s">
        <v>11</v>
      </c>
      <c r="C16" s="14" t="s">
        <v>44</v>
      </c>
      <c r="D16" s="15"/>
      <c r="G16" s="19"/>
      <c r="H16" s="23"/>
      <c r="I16" s="23"/>
      <c r="J16" s="23"/>
      <c r="K16" s="23"/>
      <c r="L16" s="23"/>
      <c r="M16" s="23"/>
      <c r="N16" s="23"/>
      <c r="O16" s="24"/>
    </row>
    <row r="17" spans="2:15" x14ac:dyDescent="0.2">
      <c r="B17" s="13" t="s">
        <v>12</v>
      </c>
      <c r="C17" s="14"/>
      <c r="D17" s="15"/>
      <c r="G17" s="19"/>
      <c r="H17" s="23"/>
      <c r="I17" s="23"/>
      <c r="J17" s="23"/>
      <c r="K17" s="23"/>
      <c r="L17" s="23"/>
      <c r="M17" s="23"/>
      <c r="N17" s="23"/>
      <c r="O17" s="24"/>
    </row>
    <row r="18" spans="2:15" x14ac:dyDescent="0.2">
      <c r="B18" s="13" t="s">
        <v>13</v>
      </c>
      <c r="C18" s="14"/>
      <c r="D18" s="15"/>
      <c r="G18" s="19"/>
      <c r="H18" s="23"/>
      <c r="I18" s="23"/>
      <c r="J18" s="23"/>
      <c r="K18" s="23"/>
      <c r="L18" s="23"/>
      <c r="M18" s="23"/>
      <c r="N18" s="23"/>
      <c r="O18" s="24"/>
    </row>
    <row r="19" spans="2:15" x14ac:dyDescent="0.2">
      <c r="B19" s="16" t="s">
        <v>14</v>
      </c>
      <c r="C19" s="17"/>
      <c r="D19" s="18"/>
      <c r="G19" s="19"/>
      <c r="H19" s="23"/>
      <c r="I19" s="23"/>
      <c r="J19" s="23"/>
      <c r="K19" s="23"/>
      <c r="L19" s="23"/>
      <c r="M19" s="23"/>
      <c r="N19" s="23"/>
      <c r="O19" s="24"/>
    </row>
    <row r="20" spans="2:15" x14ac:dyDescent="0.2">
      <c r="G20" s="19"/>
      <c r="H20" s="23"/>
      <c r="I20" s="23"/>
      <c r="J20" s="23"/>
      <c r="K20" s="23"/>
      <c r="L20" s="23"/>
      <c r="M20" s="23"/>
      <c r="N20" s="23"/>
      <c r="O20" s="24"/>
    </row>
    <row r="21" spans="2:15" x14ac:dyDescent="0.2">
      <c r="G21" s="19"/>
      <c r="H21" s="23"/>
      <c r="I21" s="23"/>
      <c r="J21" s="23"/>
      <c r="K21" s="23"/>
      <c r="L21" s="23"/>
      <c r="M21" s="23"/>
      <c r="N21" s="23"/>
      <c r="O21" s="24"/>
    </row>
    <row r="22" spans="2:15" x14ac:dyDescent="0.2">
      <c r="B22" s="3" t="s">
        <v>15</v>
      </c>
      <c r="C22" s="4"/>
      <c r="D22" s="5"/>
      <c r="G22" s="19"/>
      <c r="H22" s="23"/>
      <c r="I22" s="23"/>
      <c r="J22" s="23"/>
      <c r="K22" s="23"/>
      <c r="L22" s="23"/>
      <c r="M22" s="23"/>
      <c r="N22" s="23"/>
      <c r="O22" s="24"/>
    </row>
    <row r="23" spans="2:15" x14ac:dyDescent="0.2">
      <c r="B23" s="19" t="s">
        <v>16</v>
      </c>
      <c r="C23" s="14" t="s">
        <v>39</v>
      </c>
      <c r="D23" s="15"/>
      <c r="G23" s="19"/>
      <c r="H23" s="23"/>
      <c r="I23" s="23"/>
      <c r="J23" s="23"/>
      <c r="K23" s="23"/>
      <c r="L23" s="23"/>
      <c r="M23" s="23"/>
      <c r="N23" s="23"/>
      <c r="O23" s="24"/>
    </row>
    <row r="24" spans="2:15" x14ac:dyDescent="0.2">
      <c r="B24" s="19" t="s">
        <v>17</v>
      </c>
      <c r="C24" s="14">
        <v>2012</v>
      </c>
      <c r="D24" s="15"/>
      <c r="G24" s="19"/>
      <c r="H24" s="23"/>
      <c r="I24" s="23"/>
      <c r="J24" s="23"/>
      <c r="K24" s="23"/>
      <c r="L24" s="23"/>
      <c r="M24" s="23"/>
      <c r="N24" s="23"/>
      <c r="O24" s="24"/>
    </row>
    <row r="25" spans="2:15" x14ac:dyDescent="0.2">
      <c r="B25" s="19" t="s">
        <v>18</v>
      </c>
      <c r="C25" s="14">
        <v>2020</v>
      </c>
      <c r="D25" s="15"/>
      <c r="G25" s="19"/>
      <c r="H25" s="23"/>
      <c r="I25" s="23"/>
      <c r="J25" s="23"/>
      <c r="K25" s="23"/>
      <c r="L25" s="23"/>
      <c r="M25" s="23"/>
      <c r="N25" s="23"/>
      <c r="O25" s="24"/>
    </row>
    <row r="26" spans="2:15" x14ac:dyDescent="0.2">
      <c r="B26" s="19"/>
      <c r="C26" s="14"/>
      <c r="D26" s="15"/>
      <c r="G26" s="27">
        <v>44317</v>
      </c>
      <c r="H26" s="23" t="s">
        <v>41</v>
      </c>
      <c r="I26" s="23"/>
      <c r="J26" s="23"/>
      <c r="K26" s="23"/>
      <c r="L26" s="23"/>
      <c r="M26" s="23"/>
      <c r="N26" s="23"/>
      <c r="O26" s="24"/>
    </row>
    <row r="27" spans="2:15" x14ac:dyDescent="0.2">
      <c r="B27" s="19" t="s">
        <v>115</v>
      </c>
      <c r="C27" s="50">
        <f>+'Financial Model'!L30</f>
        <v>7630</v>
      </c>
      <c r="D27" s="15"/>
      <c r="G27" s="19"/>
      <c r="H27" s="28" t="s">
        <v>42</v>
      </c>
      <c r="I27" s="23"/>
      <c r="J27" s="23"/>
      <c r="K27" s="23"/>
      <c r="L27" s="23"/>
      <c r="M27" s="23"/>
      <c r="N27" s="23"/>
      <c r="O27" s="24"/>
    </row>
    <row r="28" spans="2:15" x14ac:dyDescent="0.2">
      <c r="B28" s="19"/>
      <c r="C28" s="40"/>
      <c r="D28" s="41"/>
      <c r="G28" s="19"/>
      <c r="H28" s="23"/>
      <c r="I28" s="23"/>
      <c r="J28" s="23"/>
      <c r="K28" s="23"/>
      <c r="L28" s="23"/>
      <c r="M28" s="23"/>
      <c r="N28" s="23"/>
      <c r="O28" s="24"/>
    </row>
    <row r="29" spans="2:15" x14ac:dyDescent="0.2">
      <c r="B29" s="19" t="s">
        <v>19</v>
      </c>
      <c r="C29" s="40" t="s">
        <v>23</v>
      </c>
      <c r="D29" s="42">
        <v>45533</v>
      </c>
      <c r="G29" s="20"/>
      <c r="H29" s="25"/>
      <c r="I29" s="25"/>
      <c r="J29" s="25"/>
      <c r="K29" s="25"/>
      <c r="L29" s="25"/>
      <c r="M29" s="25"/>
      <c r="N29" s="25"/>
      <c r="O29" s="26"/>
    </row>
    <row r="30" spans="2:15" x14ac:dyDescent="0.2">
      <c r="B30" s="20" t="s">
        <v>20</v>
      </c>
      <c r="C30" s="17" t="s">
        <v>21</v>
      </c>
      <c r="D30" s="18"/>
    </row>
    <row r="33" spans="2:4" x14ac:dyDescent="0.2">
      <c r="B33" s="3" t="s">
        <v>98</v>
      </c>
      <c r="C33" s="4"/>
      <c r="D33" s="5"/>
    </row>
    <row r="34" spans="2:4" x14ac:dyDescent="0.2">
      <c r="B34" s="19" t="s">
        <v>95</v>
      </c>
      <c r="C34" s="43">
        <f>+C6/'Financial Model'!L68</f>
        <v>10.51564511498003</v>
      </c>
      <c r="D34" s="44"/>
    </row>
    <row r="35" spans="2:4" x14ac:dyDescent="0.2">
      <c r="B35" s="19" t="s">
        <v>96</v>
      </c>
      <c r="C35" s="43">
        <f>+C8/SUM('Financial Model'!I6:L6)</f>
        <v>13.569715649610261</v>
      </c>
      <c r="D35" s="44"/>
    </row>
    <row r="36" spans="2:4" x14ac:dyDescent="0.2">
      <c r="B36" s="19" t="s">
        <v>97</v>
      </c>
      <c r="C36" s="14"/>
      <c r="D36" s="15"/>
    </row>
    <row r="37" spans="2:4" x14ac:dyDescent="0.2">
      <c r="B37" s="19" t="s">
        <v>123</v>
      </c>
      <c r="C37" s="43">
        <f>+C6/'Financial Model'!L88</f>
        <v>48.841973732067096</v>
      </c>
      <c r="D37" s="44"/>
    </row>
    <row r="38" spans="2:4" x14ac:dyDescent="0.2">
      <c r="B38" s="19" t="s">
        <v>122</v>
      </c>
      <c r="C38" s="14">
        <v>37</v>
      </c>
      <c r="D38" s="15"/>
    </row>
  </sheetData>
  <mergeCells count="20">
    <mergeCell ref="C36:D36"/>
    <mergeCell ref="C38:D38"/>
    <mergeCell ref="C37:D37"/>
    <mergeCell ref="C30:D30"/>
    <mergeCell ref="G5:O5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05485-1DCA-42FF-AB95-1900CC5BD467}">
  <dimension ref="B1:Z9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0" sqref="L10"/>
    </sheetView>
  </sheetViews>
  <sheetFormatPr defaultRowHeight="12.75" x14ac:dyDescent="0.2"/>
  <cols>
    <col min="1" max="1" width="4.28515625" style="1" customWidth="1"/>
    <col min="2" max="2" width="23.28515625" style="1" bestFit="1" customWidth="1"/>
    <col min="3" max="16384" width="9.140625" style="1"/>
  </cols>
  <sheetData>
    <row r="1" spans="2:26" s="22" customFormat="1" x14ac:dyDescent="0.2">
      <c r="C1" s="22" t="s">
        <v>109</v>
      </c>
      <c r="D1" s="22" t="s">
        <v>108</v>
      </c>
      <c r="E1" s="22" t="s">
        <v>107</v>
      </c>
      <c r="F1" s="22" t="s">
        <v>106</v>
      </c>
      <c r="G1" s="22" t="s">
        <v>29</v>
      </c>
      <c r="H1" s="22" t="s">
        <v>28</v>
      </c>
      <c r="I1" s="29" t="s">
        <v>27</v>
      </c>
      <c r="J1" s="29" t="s">
        <v>26</v>
      </c>
      <c r="K1" s="29" t="s">
        <v>22</v>
      </c>
      <c r="L1" s="29" t="s">
        <v>23</v>
      </c>
      <c r="M1" s="22" t="s">
        <v>24</v>
      </c>
      <c r="N1" s="22" t="s">
        <v>25</v>
      </c>
      <c r="S1" s="22" t="s">
        <v>30</v>
      </c>
      <c r="T1" s="22" t="s">
        <v>31</v>
      </c>
      <c r="U1" s="22" t="s">
        <v>32</v>
      </c>
      <c r="V1" s="22" t="s">
        <v>33</v>
      </c>
      <c r="W1" s="22" t="s">
        <v>34</v>
      </c>
      <c r="X1" s="29" t="s">
        <v>35</v>
      </c>
      <c r="Y1" s="22" t="s">
        <v>36</v>
      </c>
      <c r="Z1" s="22" t="s">
        <v>37</v>
      </c>
    </row>
    <row r="2" spans="2:26" s="30" customFormat="1" x14ac:dyDescent="0.2">
      <c r="B2" s="21"/>
      <c r="E2" s="30" t="s">
        <v>121</v>
      </c>
      <c r="G2" s="32">
        <v>45046</v>
      </c>
      <c r="H2" s="32">
        <v>45138</v>
      </c>
      <c r="I2" s="32">
        <v>45230</v>
      </c>
      <c r="J2" s="32">
        <f>+X2</f>
        <v>45322</v>
      </c>
      <c r="K2" s="32">
        <v>45412</v>
      </c>
      <c r="L2" s="32">
        <v>45504</v>
      </c>
      <c r="V2" s="32">
        <v>44227</v>
      </c>
      <c r="W2" s="32">
        <v>44957</v>
      </c>
      <c r="X2" s="32">
        <v>45322</v>
      </c>
    </row>
    <row r="3" spans="2:26" s="30" customFormat="1" x14ac:dyDescent="0.2">
      <c r="B3" s="21"/>
      <c r="I3" s="31">
        <v>37226</v>
      </c>
      <c r="J3" s="31">
        <v>46082</v>
      </c>
      <c r="K3" s="31">
        <v>11444</v>
      </c>
      <c r="L3" s="31">
        <v>47331</v>
      </c>
      <c r="X3" s="31">
        <v>46082</v>
      </c>
    </row>
    <row r="4" spans="2:26" s="49" customFormat="1" x14ac:dyDescent="0.2">
      <c r="B4" s="48" t="s">
        <v>116</v>
      </c>
      <c r="E4" s="49">
        <v>522.75199999999995</v>
      </c>
      <c r="G4" s="49">
        <v>590.072</v>
      </c>
      <c r="H4" s="49">
        <v>640.20899999999995</v>
      </c>
      <c r="I4" s="49">
        <v>698.47799999999995</v>
      </c>
      <c r="J4" s="49">
        <f>+X4-SUM(G4:I4)</f>
        <v>738.09000000000015</v>
      </c>
      <c r="K4" s="49">
        <v>789.58699999999999</v>
      </c>
      <c r="L4" s="49">
        <v>829.25</v>
      </c>
      <c r="V4" s="49">
        <v>1140.4690000000001</v>
      </c>
      <c r="W4" s="49">
        <v>1938.7829999999999</v>
      </c>
      <c r="X4" s="49">
        <v>2666.8490000000002</v>
      </c>
    </row>
    <row r="5" spans="2:26" s="49" customFormat="1" x14ac:dyDescent="0.2">
      <c r="B5" s="48" t="s">
        <v>113</v>
      </c>
      <c r="E5" s="49">
        <v>34.276000000000003</v>
      </c>
      <c r="G5" s="49">
        <v>33.527000000000001</v>
      </c>
      <c r="H5" s="49">
        <v>33.808999999999997</v>
      </c>
      <c r="I5" s="49">
        <v>35.695</v>
      </c>
      <c r="J5" s="49">
        <f>+X5-SUM(G5:I5)</f>
        <v>36.60899999999998</v>
      </c>
      <c r="K5" s="49">
        <v>39.122</v>
      </c>
      <c r="L5" s="49">
        <v>39.53</v>
      </c>
      <c r="V5" s="49">
        <v>78.858000000000004</v>
      </c>
      <c r="W5" s="49">
        <v>126.876</v>
      </c>
      <c r="X5" s="49">
        <v>139.63999999999999</v>
      </c>
    </row>
    <row r="6" spans="2:26" s="33" customFormat="1" x14ac:dyDescent="0.2">
      <c r="B6" s="33" t="s">
        <v>52</v>
      </c>
      <c r="C6" s="33">
        <f t="shared" ref="C6:J6" si="0">+C4+C5</f>
        <v>0</v>
      </c>
      <c r="D6" s="33">
        <f t="shared" si="0"/>
        <v>0</v>
      </c>
      <c r="E6" s="33">
        <f t="shared" si="0"/>
        <v>557.02799999999991</v>
      </c>
      <c r="F6" s="33">
        <f t="shared" si="0"/>
        <v>0</v>
      </c>
      <c r="G6" s="33">
        <f t="shared" si="0"/>
        <v>623.59900000000005</v>
      </c>
      <c r="H6" s="33">
        <f t="shared" si="0"/>
        <v>674.01799999999992</v>
      </c>
      <c r="I6" s="33">
        <f t="shared" si="0"/>
        <v>734.173</v>
      </c>
      <c r="J6" s="33">
        <f t="shared" si="0"/>
        <v>774.69900000000007</v>
      </c>
      <c r="K6" s="33">
        <f>+K4+K5</f>
        <v>828.70899999999995</v>
      </c>
      <c r="L6" s="33">
        <f>+L4+L5</f>
        <v>868.78</v>
      </c>
      <c r="M6" s="33">
        <f>+L6*(1+M22)</f>
        <v>920.90679999999998</v>
      </c>
      <c r="N6" s="33">
        <f>+M6*(1+N22)</f>
        <v>966.95213999999999</v>
      </c>
      <c r="S6" s="33">
        <f t="shared" ref="S6:Z6" si="1">+S4+S5</f>
        <v>0</v>
      </c>
      <c r="T6" s="33">
        <f t="shared" si="1"/>
        <v>0</v>
      </c>
      <c r="U6" s="33">
        <f t="shared" si="1"/>
        <v>0</v>
      </c>
      <c r="V6" s="33">
        <f t="shared" si="1"/>
        <v>1219.327</v>
      </c>
      <c r="W6" s="33">
        <f t="shared" si="1"/>
        <v>2065.6590000000001</v>
      </c>
      <c r="X6" s="33">
        <f t="shared" si="1"/>
        <v>2806.489</v>
      </c>
      <c r="Y6" s="33">
        <f>+SUM(K6:N6)</f>
        <v>3585.3479400000001</v>
      </c>
      <c r="Z6" s="33">
        <f t="shared" si="1"/>
        <v>0</v>
      </c>
    </row>
    <row r="7" spans="2:26" s="34" customFormat="1" x14ac:dyDescent="0.2">
      <c r="B7" s="34" t="s">
        <v>53</v>
      </c>
      <c r="E7" s="34">
        <v>190.721</v>
      </c>
      <c r="G7" s="34">
        <v>209.41399999999999</v>
      </c>
      <c r="H7" s="34">
        <v>218.392</v>
      </c>
      <c r="I7" s="34">
        <v>228.94800000000001</v>
      </c>
      <c r="J7" s="49">
        <f>+X7-SUM(G7:I7)</f>
        <v>241.80399999999997</v>
      </c>
      <c r="K7" s="34">
        <v>272.517</v>
      </c>
      <c r="L7" s="34">
        <v>288.07799999999997</v>
      </c>
      <c r="V7" s="34">
        <v>458.43299999999999</v>
      </c>
      <c r="W7" s="34">
        <v>717.54</v>
      </c>
      <c r="X7" s="34">
        <v>898.55799999999999</v>
      </c>
    </row>
    <row r="8" spans="2:26" s="33" customFormat="1" x14ac:dyDescent="0.2">
      <c r="B8" s="33" t="s">
        <v>54</v>
      </c>
      <c r="C8" s="33">
        <f t="shared" ref="C8" si="2">+C6-C7</f>
        <v>0</v>
      </c>
      <c r="D8" s="33">
        <f t="shared" ref="D8" si="3">+D6-D7</f>
        <v>0</v>
      </c>
      <c r="E8" s="33">
        <f t="shared" ref="E8" si="4">+E6-E7</f>
        <v>366.3069999999999</v>
      </c>
      <c r="F8" s="33">
        <f t="shared" ref="F8" si="5">+F6-F7</f>
        <v>0</v>
      </c>
      <c r="G8" s="33">
        <f t="shared" ref="G8" si="6">+G6-G7</f>
        <v>414.18500000000006</v>
      </c>
      <c r="H8" s="33">
        <f t="shared" ref="H8" si="7">+H6-H7</f>
        <v>455.62599999999992</v>
      </c>
      <c r="I8" s="33">
        <f t="shared" ref="I8" si="8">+I6-I7</f>
        <v>505.22500000000002</v>
      </c>
      <c r="J8" s="33">
        <f t="shared" ref="J8" si="9">+J6-J7</f>
        <v>532.8950000000001</v>
      </c>
      <c r="K8" s="33">
        <f t="shared" ref="G8:K8" si="10">+K6-K7</f>
        <v>556.19200000000001</v>
      </c>
      <c r="L8" s="33">
        <f>+L6-L7</f>
        <v>580.702</v>
      </c>
      <c r="S8" s="33">
        <f t="shared" ref="S8:Z8" si="11">+S6-S7</f>
        <v>0</v>
      </c>
      <c r="T8" s="33">
        <f t="shared" si="11"/>
        <v>0</v>
      </c>
      <c r="U8" s="33">
        <f t="shared" si="11"/>
        <v>0</v>
      </c>
      <c r="V8" s="33">
        <f t="shared" si="11"/>
        <v>760.89400000000001</v>
      </c>
      <c r="W8" s="33">
        <f t="shared" si="11"/>
        <v>1348.1190000000001</v>
      </c>
      <c r="X8" s="33">
        <f t="shared" si="11"/>
        <v>1907.931</v>
      </c>
      <c r="Y8" s="33">
        <f t="shared" si="11"/>
        <v>3585.3479400000001</v>
      </c>
      <c r="Z8" s="33">
        <f t="shared" si="11"/>
        <v>0</v>
      </c>
    </row>
    <row r="9" spans="2:26" s="34" customFormat="1" x14ac:dyDescent="0.2">
      <c r="B9" s="34" t="s">
        <v>55</v>
      </c>
      <c r="E9" s="34">
        <v>284.47699999999998</v>
      </c>
      <c r="G9" s="34">
        <v>331.55799999999999</v>
      </c>
      <c r="H9" s="34">
        <v>343.28800000000001</v>
      </c>
      <c r="I9" s="34">
        <v>355.07900000000001</v>
      </c>
      <c r="J9" s="49">
        <f t="shared" ref="J9:J11" si="12">+X9-SUM(G9:I9)</f>
        <v>361.82200000000012</v>
      </c>
      <c r="K9" s="34">
        <v>400.822</v>
      </c>
      <c r="L9" s="34">
        <v>400.625</v>
      </c>
      <c r="V9" s="34">
        <v>743.96500000000003</v>
      </c>
      <c r="W9" s="34">
        <v>1106.5070000000001</v>
      </c>
      <c r="X9" s="34">
        <v>1391.7470000000001</v>
      </c>
    </row>
    <row r="10" spans="2:26" s="34" customFormat="1" x14ac:dyDescent="0.2">
      <c r="B10" s="34" t="s">
        <v>56</v>
      </c>
      <c r="E10" s="34">
        <v>211.387</v>
      </c>
      <c r="G10" s="34">
        <v>277.41199999999998</v>
      </c>
      <c r="H10" s="34">
        <v>313.99599999999998</v>
      </c>
      <c r="I10" s="34">
        <v>332.065</v>
      </c>
      <c r="J10" s="49">
        <f t="shared" si="12"/>
        <v>364.47600000000011</v>
      </c>
      <c r="K10" s="34">
        <v>410.79399999999998</v>
      </c>
      <c r="L10" s="34">
        <v>437.66</v>
      </c>
      <c r="V10" s="34">
        <v>466.93200000000002</v>
      </c>
      <c r="W10" s="34">
        <v>788.05799999999999</v>
      </c>
      <c r="X10" s="34">
        <v>1287.9490000000001</v>
      </c>
    </row>
    <row r="11" spans="2:26" s="34" customFormat="1" x14ac:dyDescent="0.2">
      <c r="B11" s="34" t="s">
        <v>57</v>
      </c>
      <c r="E11" s="34">
        <v>76.462000000000003</v>
      </c>
      <c r="G11" s="34">
        <v>78.453000000000003</v>
      </c>
      <c r="H11" s="34">
        <v>83.748999999999995</v>
      </c>
      <c r="I11" s="34">
        <v>78.703999999999994</v>
      </c>
      <c r="J11" s="49">
        <f t="shared" si="12"/>
        <v>82.101999999999975</v>
      </c>
      <c r="K11" s="34">
        <v>93.147999999999996</v>
      </c>
      <c r="L11" s="34">
        <v>97.763000000000005</v>
      </c>
      <c r="V11" s="34">
        <v>265.03300000000002</v>
      </c>
      <c r="W11" s="34">
        <v>295.82100000000003</v>
      </c>
      <c r="X11" s="34">
        <v>323.00799999999998</v>
      </c>
    </row>
    <row r="12" spans="2:26" s="33" customFormat="1" x14ac:dyDescent="0.2">
      <c r="B12" s="33" t="s">
        <v>58</v>
      </c>
      <c r="C12" s="33">
        <f t="shared" ref="C12" si="13">+C8-SUM(C9:C11)</f>
        <v>0</v>
      </c>
      <c r="D12" s="33">
        <f t="shared" ref="D12" si="14">+D8-SUM(D9:D11)</f>
        <v>0</v>
      </c>
      <c r="E12" s="33">
        <f t="shared" ref="E12" si="15">+E8-SUM(E9:E11)</f>
        <v>-206.01900000000012</v>
      </c>
      <c r="F12" s="33">
        <f t="shared" ref="F12" si="16">+F8-SUM(F9:F11)</f>
        <v>0</v>
      </c>
      <c r="G12" s="33">
        <f t="shared" ref="G12" si="17">+G8-SUM(G9:G11)</f>
        <v>-273.23799999999994</v>
      </c>
      <c r="H12" s="33">
        <f t="shared" ref="H12" si="18">+H8-SUM(H9:H11)</f>
        <v>-285.4070000000001</v>
      </c>
      <c r="I12" s="33">
        <f t="shared" ref="I12" si="19">+I8-SUM(I9:I11)</f>
        <v>-260.62299999999993</v>
      </c>
      <c r="J12" s="33">
        <f t="shared" ref="J12" si="20">+J8-SUM(J9:J11)</f>
        <v>-275.50500000000011</v>
      </c>
      <c r="K12" s="33">
        <f t="shared" ref="G12:K12" si="21">+K8-SUM(K9:K11)</f>
        <v>-348.572</v>
      </c>
      <c r="L12" s="33">
        <f>+L8-SUM(L9:L11)</f>
        <v>-355.34600000000012</v>
      </c>
      <c r="S12" s="33">
        <f t="shared" ref="S12:Z12" si="22">+S8-SUM(S9:S11)</f>
        <v>0</v>
      </c>
      <c r="T12" s="33">
        <f t="shared" si="22"/>
        <v>0</v>
      </c>
      <c r="U12" s="33">
        <f t="shared" si="22"/>
        <v>0</v>
      </c>
      <c r="V12" s="33">
        <f t="shared" si="22"/>
        <v>-715.03599999999983</v>
      </c>
      <c r="W12" s="33">
        <f t="shared" si="22"/>
        <v>-842.26699999999983</v>
      </c>
      <c r="X12" s="33">
        <f t="shared" si="22"/>
        <v>-1094.7729999999997</v>
      </c>
      <c r="Y12" s="33">
        <f t="shared" si="22"/>
        <v>3585.3479400000001</v>
      </c>
      <c r="Z12" s="33">
        <f t="shared" si="22"/>
        <v>0</v>
      </c>
    </row>
    <row r="13" spans="2:26" s="34" customFormat="1" x14ac:dyDescent="0.2">
      <c r="B13" s="34" t="s">
        <v>59</v>
      </c>
      <c r="E13" s="34">
        <v>21.856999999999999</v>
      </c>
      <c r="G13" s="34">
        <v>43.131</v>
      </c>
      <c r="H13" s="34">
        <v>50.28</v>
      </c>
      <c r="I13" s="34">
        <v>53.491</v>
      </c>
      <c r="J13" s="49">
        <f t="shared" ref="J13:J14" si="23">+X13-SUM(G13:I13)</f>
        <v>53.761000000000024</v>
      </c>
      <c r="K13" s="34">
        <v>54.779000000000003</v>
      </c>
      <c r="L13" s="34">
        <v>49.265000000000001</v>
      </c>
      <c r="V13" s="34">
        <v>9.1289999999999996</v>
      </c>
      <c r="W13" s="34">
        <v>73.838999999999999</v>
      </c>
      <c r="X13" s="34">
        <v>200.66300000000001</v>
      </c>
    </row>
    <row r="14" spans="2:26" s="34" customFormat="1" x14ac:dyDescent="0.2">
      <c r="B14" s="34" t="s">
        <v>60</v>
      </c>
      <c r="E14" s="34">
        <v>-13.271000000000001</v>
      </c>
      <c r="G14" s="34">
        <v>-2.5619999999999998</v>
      </c>
      <c r="H14" s="34">
        <v>4.0860000000000003</v>
      </c>
      <c r="I14" s="34">
        <v>-4.17</v>
      </c>
      <c r="J14" s="49">
        <f t="shared" si="23"/>
        <v>47.533000000000001</v>
      </c>
      <c r="K14" s="34">
        <v>-21.302</v>
      </c>
      <c r="L14" s="34">
        <v>-7.9459999999999997</v>
      </c>
      <c r="V14" s="34">
        <v>28.946999999999999</v>
      </c>
      <c r="W14" s="34">
        <v>-47.564999999999998</v>
      </c>
      <c r="X14" s="34">
        <v>44.887</v>
      </c>
    </row>
    <row r="15" spans="2:26" s="34" customFormat="1" x14ac:dyDescent="0.2">
      <c r="B15" s="34" t="s">
        <v>61</v>
      </c>
      <c r="C15" s="34">
        <f t="shared" ref="C15" si="24">+C12+C13+C14</f>
        <v>0</v>
      </c>
      <c r="D15" s="34">
        <f t="shared" ref="D15" si="25">+D12+D13+D14</f>
        <v>0</v>
      </c>
      <c r="E15" s="34">
        <f t="shared" ref="E15" si="26">+E12+E13+E14</f>
        <v>-197.43300000000011</v>
      </c>
      <c r="F15" s="34">
        <f t="shared" ref="F15" si="27">+F12+F13+F14</f>
        <v>0</v>
      </c>
      <c r="G15" s="34">
        <f t="shared" ref="G15" si="28">+G12+G13+G14</f>
        <v>-232.66899999999995</v>
      </c>
      <c r="H15" s="34">
        <f t="shared" ref="H15" si="29">+H12+H13+H14</f>
        <v>-231.04100000000008</v>
      </c>
      <c r="I15" s="34">
        <f t="shared" ref="I15" si="30">+I12+I13+I14</f>
        <v>-211.30199999999994</v>
      </c>
      <c r="J15" s="34">
        <f t="shared" ref="J15" si="31">+J12+J13+J14</f>
        <v>-174.21100000000007</v>
      </c>
      <c r="K15" s="34">
        <f t="shared" ref="G15:K15" si="32">+K12+K13+K14</f>
        <v>-315.09500000000003</v>
      </c>
      <c r="L15" s="34">
        <f>+L12+L13+L14</f>
        <v>-314.02700000000016</v>
      </c>
      <c r="S15" s="34">
        <f t="shared" ref="S15:Z15" si="33">+S12+S13+S14</f>
        <v>0</v>
      </c>
      <c r="T15" s="34">
        <f t="shared" si="33"/>
        <v>0</v>
      </c>
      <c r="U15" s="34">
        <f t="shared" si="33"/>
        <v>0</v>
      </c>
      <c r="V15" s="34">
        <f t="shared" si="33"/>
        <v>-676.95999999999981</v>
      </c>
      <c r="W15" s="34">
        <f t="shared" si="33"/>
        <v>-815.99299999999994</v>
      </c>
      <c r="X15" s="34">
        <f t="shared" si="33"/>
        <v>-849.22299999999973</v>
      </c>
      <c r="Y15" s="34">
        <f t="shared" si="33"/>
        <v>3585.3479400000001</v>
      </c>
      <c r="Z15" s="34">
        <f t="shared" si="33"/>
        <v>0</v>
      </c>
    </row>
    <row r="16" spans="2:26" s="34" customFormat="1" x14ac:dyDescent="0.2">
      <c r="B16" s="34" t="s">
        <v>62</v>
      </c>
      <c r="E16" s="34">
        <v>4.0090000000000003</v>
      </c>
      <c r="G16" s="34">
        <v>-6.6050000000000004</v>
      </c>
      <c r="H16" s="34">
        <v>-3.7210000000000001</v>
      </c>
      <c r="I16" s="34">
        <v>3.3919999999999999</v>
      </c>
      <c r="J16" s="49">
        <f>+X16-SUM(G16:I16)</f>
        <v>-4.2989999999999995</v>
      </c>
      <c r="K16" s="34">
        <v>2.7210000000000001</v>
      </c>
      <c r="L16" s="34">
        <v>3.786</v>
      </c>
      <c r="V16" s="34">
        <v>2.988</v>
      </c>
      <c r="W16" s="34">
        <v>-18.466999999999999</v>
      </c>
      <c r="X16" s="34">
        <v>-11.233000000000001</v>
      </c>
    </row>
    <row r="17" spans="2:26" s="33" customFormat="1" x14ac:dyDescent="0.2">
      <c r="B17" s="33" t="s">
        <v>63</v>
      </c>
      <c r="C17" s="33">
        <f t="shared" ref="C17" si="34">+C15-C16</f>
        <v>0</v>
      </c>
      <c r="D17" s="33">
        <f t="shared" ref="D17" si="35">+D15-D16</f>
        <v>0</v>
      </c>
      <c r="E17" s="33">
        <f t="shared" ref="E17" si="36">+E15-E16</f>
        <v>-201.44200000000012</v>
      </c>
      <c r="F17" s="33">
        <f t="shared" ref="F17" si="37">+F15-F16</f>
        <v>0</v>
      </c>
      <c r="G17" s="33">
        <f t="shared" ref="G17" si="38">+G15-G16</f>
        <v>-226.06399999999996</v>
      </c>
      <c r="H17" s="33">
        <f t="shared" ref="H17" si="39">+H15-H16</f>
        <v>-227.32000000000008</v>
      </c>
      <c r="I17" s="33">
        <f t="shared" ref="I17" si="40">+I15-I16</f>
        <v>-214.69399999999993</v>
      </c>
      <c r="J17" s="33">
        <f t="shared" ref="J17" si="41">+J15-J16</f>
        <v>-169.91200000000006</v>
      </c>
      <c r="K17" s="33">
        <f t="shared" ref="G17:K17" si="42">+K15-K16</f>
        <v>-317.81600000000003</v>
      </c>
      <c r="L17" s="33">
        <f>+L15-L16</f>
        <v>-317.81300000000016</v>
      </c>
      <c r="S17" s="33">
        <f t="shared" ref="S17:Z17" si="43">+S15-S16</f>
        <v>0</v>
      </c>
      <c r="T17" s="33">
        <f t="shared" si="43"/>
        <v>0</v>
      </c>
      <c r="U17" s="33">
        <f t="shared" si="43"/>
        <v>0</v>
      </c>
      <c r="V17" s="33">
        <f t="shared" si="43"/>
        <v>-679.94799999999987</v>
      </c>
      <c r="W17" s="33">
        <f t="shared" si="43"/>
        <v>-797.52599999999995</v>
      </c>
      <c r="X17" s="33">
        <f t="shared" si="43"/>
        <v>-837.98999999999978</v>
      </c>
      <c r="Y17" s="33">
        <f t="shared" si="43"/>
        <v>3585.3479400000001</v>
      </c>
      <c r="Z17" s="33">
        <f t="shared" si="43"/>
        <v>0</v>
      </c>
    </row>
    <row r="18" spans="2:26" s="36" customFormat="1" x14ac:dyDescent="0.2">
      <c r="B18" s="36" t="s">
        <v>64</v>
      </c>
      <c r="E18" s="36">
        <f>+E17/E19</f>
        <v>-0.62924078904212322</v>
      </c>
      <c r="G18" s="36">
        <f>+G17/G19</f>
        <v>-0.69739046202920185</v>
      </c>
      <c r="H18" s="36">
        <f>+H17/H19</f>
        <v>-0.69445674920188827</v>
      </c>
      <c r="I18" s="36">
        <f>+I17/I19</f>
        <v>-0.65195104916340207</v>
      </c>
      <c r="J18" s="36">
        <f>+J17/J19</f>
        <v>-0.5180228109060645</v>
      </c>
      <c r="K18" s="36">
        <f>+K17/K19</f>
        <v>-0.9527315458775002</v>
      </c>
      <c r="L18" s="36">
        <f>+L17/L19</f>
        <v>-0.95133369852516425</v>
      </c>
      <c r="V18" s="36">
        <f>+V17/V19</f>
        <v>-2.2644326995767177</v>
      </c>
      <c r="W18" s="36">
        <f>+W17/W19</f>
        <v>-2.502199353684937</v>
      </c>
      <c r="X18" s="36">
        <f>+X17/X19</f>
        <v>-2.5548397718299634</v>
      </c>
    </row>
    <row r="19" spans="2:26" s="34" customFormat="1" x14ac:dyDescent="0.2">
      <c r="B19" s="34" t="s">
        <v>4</v>
      </c>
      <c r="E19" s="34">
        <v>320.13499999999999</v>
      </c>
      <c r="G19" s="34">
        <v>324.15699999999998</v>
      </c>
      <c r="H19" s="34">
        <v>327.33499999999998</v>
      </c>
      <c r="I19" s="34">
        <v>329.31</v>
      </c>
      <c r="J19" s="34">
        <f>+X19</f>
        <v>328.00099999999998</v>
      </c>
      <c r="K19" s="34">
        <v>333.584</v>
      </c>
      <c r="L19" s="34">
        <v>334.07100000000003</v>
      </c>
      <c r="V19" s="34">
        <v>300.27300000000002</v>
      </c>
      <c r="W19" s="34">
        <v>318.73</v>
      </c>
      <c r="X19" s="34">
        <v>328.00099999999998</v>
      </c>
    </row>
    <row r="21" spans="2:26" s="38" customFormat="1" x14ac:dyDescent="0.2">
      <c r="B21" s="38" t="s">
        <v>69</v>
      </c>
      <c r="I21" s="38">
        <f>+I6/E6-1</f>
        <v>0.31801812476213076</v>
      </c>
      <c r="K21" s="38">
        <f>+K6/G6-1</f>
        <v>0.32891329203542652</v>
      </c>
      <c r="L21" s="38">
        <f>+L6/H6-1</f>
        <v>0.28895667474755871</v>
      </c>
      <c r="W21" s="38">
        <f>+W6/V6-1</f>
        <v>0.69409764566847132</v>
      </c>
      <c r="X21" s="38">
        <f>+X6/W6-1</f>
        <v>0.35864099544019612</v>
      </c>
      <c r="Y21" s="38">
        <f>+Y6/X6-1</f>
        <v>0.27752075279824728</v>
      </c>
    </row>
    <row r="22" spans="2:26" s="37" customFormat="1" x14ac:dyDescent="0.2">
      <c r="B22" s="37" t="s">
        <v>70</v>
      </c>
      <c r="H22" s="37">
        <f>+H6/G6-1</f>
        <v>8.0851637029565326E-2</v>
      </c>
      <c r="I22" s="37">
        <f t="shared" ref="I22:K22" si="44">+I6/H6-1</f>
        <v>8.924835835244771E-2</v>
      </c>
      <c r="J22" s="37">
        <f t="shared" si="44"/>
        <v>5.5199523817955898E-2</v>
      </c>
      <c r="K22" s="37">
        <f t="shared" si="44"/>
        <v>6.9717399919194234E-2</v>
      </c>
      <c r="L22" s="37">
        <f>+L6/K6-1</f>
        <v>4.8353523371895246E-2</v>
      </c>
      <c r="M22" s="37">
        <v>0.06</v>
      </c>
      <c r="N22" s="37">
        <v>0.05</v>
      </c>
    </row>
    <row r="24" spans="2:26" s="37" customFormat="1" x14ac:dyDescent="0.2">
      <c r="B24" s="37" t="s">
        <v>65</v>
      </c>
      <c r="E24" s="37">
        <f>+E8/E6</f>
        <v>0.65760967132711456</v>
      </c>
      <c r="G24" s="37">
        <f>+G8/G6</f>
        <v>0.66418483673001405</v>
      </c>
      <c r="H24" s="37">
        <f>+H8/H6</f>
        <v>0.67598491434946839</v>
      </c>
      <c r="I24" s="37">
        <f t="shared" ref="I24:J24" si="45">+I8/I6</f>
        <v>0.68815524406372885</v>
      </c>
      <c r="J24" s="37">
        <f t="shared" si="45"/>
        <v>0.68787361284834503</v>
      </c>
      <c r="K24" s="37">
        <f>+K8/K6</f>
        <v>0.67115477206112162</v>
      </c>
      <c r="L24" s="37">
        <f>+L8/L6</f>
        <v>0.66841087502014318</v>
      </c>
    </row>
    <row r="25" spans="2:26" s="37" customFormat="1" x14ac:dyDescent="0.2">
      <c r="B25" s="37" t="s">
        <v>66</v>
      </c>
      <c r="E25" s="37">
        <f>+E12/E6</f>
        <v>-0.36985393911975728</v>
      </c>
      <c r="G25" s="37">
        <f>+G12/G6</f>
        <v>-0.43816298614975319</v>
      </c>
      <c r="H25" s="37">
        <f>+H12/H6</f>
        <v>-0.42344121373613186</v>
      </c>
      <c r="I25" s="37">
        <f t="shared" ref="I25:J25" si="46">+I12/I6</f>
        <v>-0.35498853812384812</v>
      </c>
      <c r="J25" s="37">
        <f t="shared" si="46"/>
        <v>-0.35562844407957167</v>
      </c>
      <c r="K25" s="37">
        <f>+K12/K6</f>
        <v>-0.4206205073192158</v>
      </c>
      <c r="L25" s="37">
        <f>+L12/L6</f>
        <v>-0.40901724257004091</v>
      </c>
    </row>
    <row r="26" spans="2:26" s="37" customFormat="1" x14ac:dyDescent="0.2">
      <c r="B26" s="37" t="s">
        <v>67</v>
      </c>
      <c r="E26" s="37">
        <f>+E17/E6</f>
        <v>-0.36163711698514284</v>
      </c>
      <c r="G26" s="37">
        <f>+G17/G6</f>
        <v>-0.36251501365460809</v>
      </c>
      <c r="H26" s="37">
        <f>+H17/H6</f>
        <v>-0.33726102270265795</v>
      </c>
      <c r="I26" s="37">
        <f t="shared" ref="I26:J26" si="47">+I17/I6</f>
        <v>-0.29242971343266494</v>
      </c>
      <c r="J26" s="37">
        <f t="shared" si="47"/>
        <v>-0.21932647389502252</v>
      </c>
      <c r="K26" s="37">
        <f>+K17/K6</f>
        <v>-0.38350735903676691</v>
      </c>
      <c r="L26" s="37">
        <f>+L17/L6</f>
        <v>-0.36581528119892281</v>
      </c>
    </row>
    <row r="27" spans="2:26" s="37" customFormat="1" x14ac:dyDescent="0.2">
      <c r="B27" s="37" t="s">
        <v>68</v>
      </c>
      <c r="E27" s="37">
        <f>+E16/E15</f>
        <v>-2.0305622666930038E-2</v>
      </c>
      <c r="G27" s="37">
        <f>+G16/G15</f>
        <v>2.8387967455913772E-2</v>
      </c>
      <c r="H27" s="37">
        <f>+H16/H15</f>
        <v>1.6105366579957665E-2</v>
      </c>
      <c r="I27" s="37">
        <f t="shared" ref="I27:J27" si="48">+I16/I15</f>
        <v>-1.6052853262155591E-2</v>
      </c>
      <c r="J27" s="37">
        <f t="shared" si="48"/>
        <v>2.4676972177417027E-2</v>
      </c>
      <c r="K27" s="37">
        <f>+K16/K15</f>
        <v>-8.6354908837017411E-3</v>
      </c>
      <c r="L27" s="37">
        <f>+L16/L15</f>
        <v>-1.2056288153566408E-2</v>
      </c>
    </row>
    <row r="29" spans="2:26" x14ac:dyDescent="0.2">
      <c r="B29" s="39" t="s">
        <v>110</v>
      </c>
    </row>
    <row r="30" spans="2:26" s="33" customFormat="1" x14ac:dyDescent="0.2">
      <c r="B30" s="33" t="s">
        <v>111</v>
      </c>
      <c r="C30" s="33">
        <f t="shared" ref="C30:K30" si="49">+SUM(C31:C35)</f>
        <v>0</v>
      </c>
      <c r="D30" s="33">
        <f t="shared" si="49"/>
        <v>0</v>
      </c>
      <c r="E30" s="33">
        <f t="shared" si="49"/>
        <v>5547</v>
      </c>
      <c r="F30" s="33">
        <f t="shared" si="49"/>
        <v>0</v>
      </c>
      <c r="G30" s="33">
        <f t="shared" si="49"/>
        <v>6310</v>
      </c>
      <c r="H30" s="33">
        <f t="shared" si="49"/>
        <v>6659</v>
      </c>
      <c r="I30" s="33">
        <f t="shared" si="49"/>
        <v>6783</v>
      </c>
      <c r="J30" s="33">
        <f t="shared" si="49"/>
        <v>0</v>
      </c>
      <c r="K30" s="33">
        <f t="shared" si="49"/>
        <v>7296</v>
      </c>
      <c r="L30" s="33">
        <f>+SUM(L31:L35)</f>
        <v>7630</v>
      </c>
    </row>
    <row r="31" spans="2:26" x14ac:dyDescent="0.2">
      <c r="B31" s="45" t="s">
        <v>112</v>
      </c>
      <c r="E31" s="1">
        <v>343</v>
      </c>
      <c r="G31" s="1">
        <v>383</v>
      </c>
      <c r="H31" s="1">
        <v>400</v>
      </c>
      <c r="I31" s="1">
        <v>402</v>
      </c>
      <c r="K31" s="1">
        <v>417</v>
      </c>
      <c r="L31" s="1">
        <v>449</v>
      </c>
    </row>
    <row r="32" spans="2:26" x14ac:dyDescent="0.2">
      <c r="B32" s="45" t="s">
        <v>113</v>
      </c>
      <c r="E32" s="1">
        <v>458</v>
      </c>
      <c r="G32" s="1">
        <v>524</v>
      </c>
      <c r="H32" s="1">
        <v>525</v>
      </c>
      <c r="I32" s="1">
        <v>523</v>
      </c>
      <c r="K32" s="1">
        <v>546</v>
      </c>
      <c r="L32" s="1">
        <v>553</v>
      </c>
    </row>
    <row r="33" spans="2:12" s="34" customFormat="1" x14ac:dyDescent="0.2">
      <c r="B33" s="47" t="s">
        <v>117</v>
      </c>
      <c r="E33" s="34">
        <v>2625</v>
      </c>
      <c r="G33" s="34">
        <v>2866</v>
      </c>
      <c r="H33" s="34">
        <v>2979</v>
      </c>
      <c r="I33" s="34">
        <v>2978</v>
      </c>
      <c r="K33" s="34">
        <v>3130</v>
      </c>
      <c r="L33" s="34">
        <v>3235</v>
      </c>
    </row>
    <row r="34" spans="2:12" s="34" customFormat="1" x14ac:dyDescent="0.2">
      <c r="B34" s="47" t="s">
        <v>118</v>
      </c>
      <c r="E34" s="34">
        <v>1235</v>
      </c>
      <c r="G34" s="34">
        <v>1612</v>
      </c>
      <c r="H34" s="34">
        <v>1805</v>
      </c>
      <c r="I34" s="34">
        <v>1891</v>
      </c>
      <c r="K34" s="34">
        <v>2108</v>
      </c>
      <c r="L34" s="34">
        <v>2241</v>
      </c>
    </row>
    <row r="35" spans="2:12" s="34" customFormat="1" x14ac:dyDescent="0.2">
      <c r="B35" s="47" t="s">
        <v>119</v>
      </c>
      <c r="E35" s="34">
        <v>886</v>
      </c>
      <c r="G35" s="34">
        <v>925</v>
      </c>
      <c r="H35" s="34">
        <v>950</v>
      </c>
      <c r="I35" s="34">
        <v>989</v>
      </c>
      <c r="K35" s="34">
        <v>1095</v>
      </c>
      <c r="L35" s="34">
        <v>1152</v>
      </c>
    </row>
    <row r="36" spans="2:12" s="46" customFormat="1" x14ac:dyDescent="0.2">
      <c r="B36" s="46" t="s">
        <v>114</v>
      </c>
      <c r="I36" s="46">
        <f>+I30/E30-1</f>
        <v>0.22282314764737698</v>
      </c>
      <c r="K36" s="46">
        <f>+K30/G30-1</f>
        <v>0.15625990491283681</v>
      </c>
      <c r="L36" s="46">
        <f>+L30/H30-1</f>
        <v>0.14581769034389547</v>
      </c>
    </row>
    <row r="39" spans="2:12" x14ac:dyDescent="0.2">
      <c r="B39" s="39" t="s">
        <v>71</v>
      </c>
    </row>
    <row r="40" spans="2:12" s="33" customFormat="1" x14ac:dyDescent="0.2">
      <c r="B40" s="33" t="s">
        <v>6</v>
      </c>
      <c r="I40" s="33">
        <v>982.18200000000002</v>
      </c>
      <c r="K40" s="33">
        <v>1330.4110000000001</v>
      </c>
      <c r="L40" s="33">
        <v>1282.0450000000001</v>
      </c>
    </row>
    <row r="41" spans="2:12" s="33" customFormat="1" x14ac:dyDescent="0.2">
      <c r="B41" s="33" t="s">
        <v>72</v>
      </c>
      <c r="I41" s="33">
        <v>2566.357</v>
      </c>
      <c r="K41" s="33">
        <v>2200.9349999999999</v>
      </c>
      <c r="L41" s="33">
        <v>1948.462</v>
      </c>
    </row>
    <row r="42" spans="2:12" s="34" customFormat="1" x14ac:dyDescent="0.2">
      <c r="B42" s="34" t="s">
        <v>73</v>
      </c>
      <c r="I42" s="34">
        <v>511.03399999999999</v>
      </c>
      <c r="K42" s="34">
        <v>345.505</v>
      </c>
      <c r="L42" s="34">
        <v>431.59699999999998</v>
      </c>
    </row>
    <row r="43" spans="2:12" s="34" customFormat="1" x14ac:dyDescent="0.2">
      <c r="B43" s="34" t="s">
        <v>74</v>
      </c>
      <c r="I43" s="34">
        <v>74.573999999999998</v>
      </c>
      <c r="K43" s="34">
        <v>85.447999999999993</v>
      </c>
      <c r="L43" s="34">
        <v>86.899000000000001</v>
      </c>
    </row>
    <row r="44" spans="2:12" s="34" customFormat="1" x14ac:dyDescent="0.2">
      <c r="B44" s="34" t="s">
        <v>75</v>
      </c>
      <c r="I44" s="34">
        <v>178.136</v>
      </c>
      <c r="K44" s="34">
        <v>180.99100000000001</v>
      </c>
      <c r="L44" s="34">
        <v>149.08500000000001</v>
      </c>
    </row>
    <row r="45" spans="2:12" s="34" customFormat="1" x14ac:dyDescent="0.2">
      <c r="B45" s="34" t="s">
        <v>76</v>
      </c>
      <c r="C45" s="34">
        <f t="shared" ref="C45:K45" si="50">+SUM(C40:C44)</f>
        <v>0</v>
      </c>
      <c r="G45" s="34">
        <f t="shared" si="50"/>
        <v>0</v>
      </c>
      <c r="H45" s="34">
        <f t="shared" si="50"/>
        <v>0</v>
      </c>
      <c r="I45" s="34">
        <f t="shared" si="50"/>
        <v>4312.2830000000004</v>
      </c>
      <c r="J45" s="34">
        <f t="shared" si="50"/>
        <v>0</v>
      </c>
      <c r="K45" s="34">
        <f t="shared" si="50"/>
        <v>4143.29</v>
      </c>
      <c r="L45" s="34">
        <f>+SUM(L40:L44)</f>
        <v>3898.0880000000002</v>
      </c>
    </row>
    <row r="46" spans="2:12" s="33" customFormat="1" x14ac:dyDescent="0.2">
      <c r="B46" s="33" t="s">
        <v>77</v>
      </c>
      <c r="I46" s="33">
        <v>947.82899999999995</v>
      </c>
      <c r="K46" s="33">
        <v>927.98099999999999</v>
      </c>
      <c r="L46" s="33">
        <v>697.40599999999995</v>
      </c>
    </row>
    <row r="47" spans="2:12" s="34" customFormat="1" x14ac:dyDescent="0.2">
      <c r="B47" s="34" t="s">
        <v>78</v>
      </c>
      <c r="I47" s="34">
        <v>216.38</v>
      </c>
      <c r="K47" s="34">
        <v>263.66699999999997</v>
      </c>
      <c r="L47" s="34">
        <v>264.77800000000002</v>
      </c>
    </row>
    <row r="48" spans="2:12" s="34" customFormat="1" x14ac:dyDescent="0.2">
      <c r="B48" s="34" t="s">
        <v>79</v>
      </c>
      <c r="I48" s="34">
        <v>254.23599999999999</v>
      </c>
      <c r="K48" s="34">
        <v>244.68100000000001</v>
      </c>
      <c r="L48" s="34">
        <v>272.459</v>
      </c>
    </row>
    <row r="49" spans="2:12" s="34" customFormat="1" x14ac:dyDescent="0.2">
      <c r="B49" s="34" t="s">
        <v>80</v>
      </c>
      <c r="I49" s="34">
        <f>784.405+329.767</f>
        <v>1114.172</v>
      </c>
      <c r="K49" s="34">
        <f>975.906+307.967</f>
        <v>1283.873</v>
      </c>
      <c r="L49" s="34">
        <f>984.076+286.538</f>
        <v>1270.614</v>
      </c>
    </row>
    <row r="50" spans="2:12" s="34" customFormat="1" x14ac:dyDescent="0.2">
      <c r="B50" s="34" t="s">
        <v>74</v>
      </c>
      <c r="I50" s="34">
        <v>150.36199999999999</v>
      </c>
      <c r="K50" s="34">
        <v>179.917</v>
      </c>
      <c r="L50" s="34">
        <v>177.45699999999999</v>
      </c>
    </row>
    <row r="51" spans="2:12" s="34" customFormat="1" x14ac:dyDescent="0.2">
      <c r="B51" s="34" t="s">
        <v>81</v>
      </c>
      <c r="I51" s="34">
        <v>269.11700000000002</v>
      </c>
      <c r="K51" s="34">
        <v>254.60900000000001</v>
      </c>
      <c r="L51" s="34">
        <v>363.084</v>
      </c>
    </row>
    <row r="52" spans="2:12" s="34" customFormat="1" x14ac:dyDescent="0.2">
      <c r="B52" s="34" t="s">
        <v>82</v>
      </c>
      <c r="C52" s="34">
        <f t="shared" ref="C52:K52" si="51">+SUM(C45:C51)</f>
        <v>0</v>
      </c>
      <c r="G52" s="34">
        <f t="shared" si="51"/>
        <v>0</v>
      </c>
      <c r="H52" s="34">
        <f t="shared" si="51"/>
        <v>0</v>
      </c>
      <c r="I52" s="34">
        <f t="shared" si="51"/>
        <v>7264.3789999999999</v>
      </c>
      <c r="J52" s="34">
        <f t="shared" si="51"/>
        <v>0</v>
      </c>
      <c r="K52" s="34">
        <f t="shared" si="51"/>
        <v>7298.0180000000009</v>
      </c>
      <c r="L52" s="34">
        <f>+SUM(L45:L51)</f>
        <v>6943.8860000000013</v>
      </c>
    </row>
    <row r="53" spans="2:12" s="34" customFormat="1" x14ac:dyDescent="0.2"/>
    <row r="54" spans="2:12" s="34" customFormat="1" x14ac:dyDescent="0.2">
      <c r="B54" s="34" t="s">
        <v>83</v>
      </c>
      <c r="I54" s="34">
        <v>75.456000000000003</v>
      </c>
      <c r="K54" s="34">
        <v>64.239000000000004</v>
      </c>
      <c r="L54" s="34">
        <v>134.53700000000001</v>
      </c>
    </row>
    <row r="55" spans="2:12" s="34" customFormat="1" x14ac:dyDescent="0.2">
      <c r="B55" s="34" t="s">
        <v>84</v>
      </c>
      <c r="I55" s="34">
        <v>318.28100000000001</v>
      </c>
      <c r="K55" s="34">
        <v>398.00200000000001</v>
      </c>
      <c r="L55" s="34">
        <v>448.92599999999999</v>
      </c>
    </row>
    <row r="56" spans="2:12" s="34" customFormat="1" x14ac:dyDescent="0.2">
      <c r="B56" s="34" t="s">
        <v>85</v>
      </c>
      <c r="I56" s="34">
        <v>33.347999999999999</v>
      </c>
      <c r="K56" s="34">
        <v>30.94</v>
      </c>
      <c r="L56" s="34">
        <v>32.843000000000004</v>
      </c>
    </row>
    <row r="57" spans="2:12" s="34" customFormat="1" x14ac:dyDescent="0.2">
      <c r="B57" s="34" t="s">
        <v>86</v>
      </c>
      <c r="I57" s="34">
        <v>1605.587</v>
      </c>
      <c r="K57" s="34">
        <v>1935.6420000000001</v>
      </c>
      <c r="L57" s="34">
        <v>1848.376</v>
      </c>
    </row>
    <row r="58" spans="2:12" s="34" customFormat="1" x14ac:dyDescent="0.2">
      <c r="B58" s="34" t="s">
        <v>87</v>
      </c>
      <c r="C58" s="34">
        <f t="shared" ref="C58:K58" si="52">+SUM(C54:C57)</f>
        <v>0</v>
      </c>
      <c r="G58" s="34">
        <f t="shared" si="52"/>
        <v>0</v>
      </c>
      <c r="H58" s="34">
        <f t="shared" si="52"/>
        <v>0</v>
      </c>
      <c r="I58" s="34">
        <f t="shared" si="52"/>
        <v>2032.672</v>
      </c>
      <c r="J58" s="34">
        <f t="shared" si="52"/>
        <v>0</v>
      </c>
      <c r="K58" s="34">
        <f t="shared" si="52"/>
        <v>2428.8229999999999</v>
      </c>
      <c r="L58" s="34">
        <f>+SUM(L54:L57)</f>
        <v>2464.6819999999998</v>
      </c>
    </row>
    <row r="59" spans="2:12" s="34" customFormat="1" x14ac:dyDescent="0.2">
      <c r="B59" s="34" t="s">
        <v>85</v>
      </c>
      <c r="I59" s="34">
        <v>253.029</v>
      </c>
      <c r="K59" s="34">
        <v>247.501</v>
      </c>
      <c r="L59" s="34">
        <v>279.96899999999999</v>
      </c>
    </row>
    <row r="60" spans="2:12" s="34" customFormat="1" x14ac:dyDescent="0.2">
      <c r="B60" s="34" t="s">
        <v>86</v>
      </c>
      <c r="I60" s="34">
        <v>12.082000000000001</v>
      </c>
      <c r="K60" s="34">
        <v>14.692</v>
      </c>
      <c r="L60" s="34">
        <v>12.28</v>
      </c>
    </row>
    <row r="61" spans="2:12" s="34" customFormat="1" x14ac:dyDescent="0.2">
      <c r="B61" s="34" t="s">
        <v>88</v>
      </c>
      <c r="I61" s="34">
        <v>25.829000000000001</v>
      </c>
      <c r="K61" s="34">
        <v>39.31</v>
      </c>
      <c r="L61" s="34">
        <v>49.366999999999997</v>
      </c>
    </row>
    <row r="62" spans="2:12" s="34" customFormat="1" x14ac:dyDescent="0.2">
      <c r="B62" s="34" t="s">
        <v>89</v>
      </c>
      <c r="C62" s="34">
        <f t="shared" ref="C62:K62" si="53">+SUM(C58:C61)</f>
        <v>0</v>
      </c>
      <c r="G62" s="34">
        <f t="shared" si="53"/>
        <v>0</v>
      </c>
      <c r="H62" s="34">
        <f t="shared" si="53"/>
        <v>0</v>
      </c>
      <c r="I62" s="34">
        <f t="shared" si="53"/>
        <v>2323.6120000000001</v>
      </c>
      <c r="J62" s="34">
        <f t="shared" si="53"/>
        <v>0</v>
      </c>
      <c r="K62" s="34">
        <f t="shared" si="53"/>
        <v>2730.326</v>
      </c>
      <c r="L62" s="34">
        <f>+SUM(L58:L61)</f>
        <v>2806.2980000000002</v>
      </c>
    </row>
    <row r="63" spans="2:12" s="34" customFormat="1" x14ac:dyDescent="0.2"/>
    <row r="64" spans="2:12" s="34" customFormat="1" x14ac:dyDescent="0.2">
      <c r="B64" s="34" t="s">
        <v>90</v>
      </c>
      <c r="I64" s="34">
        <v>4940.7669999999998</v>
      </c>
      <c r="K64" s="34">
        <v>4567.692</v>
      </c>
      <c r="L64" s="34">
        <v>4137.5879999999997</v>
      </c>
    </row>
    <row r="65" spans="2:12" s="34" customFormat="1" x14ac:dyDescent="0.2">
      <c r="B65" s="34" t="s">
        <v>91</v>
      </c>
      <c r="I65" s="34">
        <f>+I64+I62</f>
        <v>7264.3789999999999</v>
      </c>
      <c r="K65" s="34">
        <f>+K64+K62</f>
        <v>7298.018</v>
      </c>
      <c r="L65" s="34">
        <f>+L64+L62</f>
        <v>6943.8860000000004</v>
      </c>
    </row>
    <row r="67" spans="2:12" x14ac:dyDescent="0.2">
      <c r="B67" s="1" t="s">
        <v>92</v>
      </c>
      <c r="I67" s="34">
        <f>+I52-I62</f>
        <v>4940.7669999999998</v>
      </c>
      <c r="K67" s="34">
        <f>+K52-K62</f>
        <v>4567.6920000000009</v>
      </c>
      <c r="L67" s="34">
        <f>+L52-L62</f>
        <v>4137.5880000000016</v>
      </c>
    </row>
    <row r="68" spans="2:12" x14ac:dyDescent="0.2">
      <c r="B68" s="1" t="s">
        <v>93</v>
      </c>
      <c r="I68" s="1">
        <f>+I67/I19</f>
        <v>15.003391940724544</v>
      </c>
      <c r="K68" s="1">
        <f>+K67/K19</f>
        <v>13.692779030169316</v>
      </c>
      <c r="L68" s="1">
        <f>+L67/L19</f>
        <v>12.385355208922658</v>
      </c>
    </row>
    <row r="70" spans="2:12" x14ac:dyDescent="0.2">
      <c r="B70" s="1" t="s">
        <v>6</v>
      </c>
      <c r="I70" s="34">
        <f>+I40+I41+I46</f>
        <v>4496.3679999999995</v>
      </c>
      <c r="K70" s="34">
        <f>+K40+K41+K46</f>
        <v>4459.3270000000002</v>
      </c>
      <c r="L70" s="34">
        <f>+L40+L41+L46</f>
        <v>3927.913</v>
      </c>
    </row>
    <row r="71" spans="2:12" x14ac:dyDescent="0.2">
      <c r="B71" s="1" t="s">
        <v>7</v>
      </c>
      <c r="I71" s="1">
        <v>0</v>
      </c>
      <c r="K71" s="1">
        <v>0</v>
      </c>
      <c r="L71" s="1">
        <v>0</v>
      </c>
    </row>
    <row r="72" spans="2:12" x14ac:dyDescent="0.2">
      <c r="B72" s="1" t="s">
        <v>8</v>
      </c>
      <c r="I72" s="34">
        <f>+I70-I71</f>
        <v>4496.3679999999995</v>
      </c>
      <c r="K72" s="34">
        <f>+K70-K71</f>
        <v>4459.3270000000002</v>
      </c>
      <c r="L72" s="34">
        <f>+L70-L71</f>
        <v>3927.913</v>
      </c>
    </row>
    <row r="74" spans="2:12" s="35" customFormat="1" x14ac:dyDescent="0.2">
      <c r="B74" s="35" t="s">
        <v>94</v>
      </c>
      <c r="I74" s="35">
        <v>199</v>
      </c>
      <c r="J74" s="35">
        <v>195.64</v>
      </c>
      <c r="K74" s="35">
        <v>130.38</v>
      </c>
      <c r="L74" s="35">
        <v>110.41</v>
      </c>
    </row>
    <row r="75" spans="2:12" s="34" customFormat="1" x14ac:dyDescent="0.2">
      <c r="B75" s="34" t="s">
        <v>5</v>
      </c>
      <c r="I75" s="34">
        <f>+I74*I19</f>
        <v>65532.69</v>
      </c>
      <c r="J75" s="34">
        <f>+J74*J19</f>
        <v>64170.115639999989</v>
      </c>
      <c r="K75" s="34">
        <f>+K74*K19</f>
        <v>43492.681919999995</v>
      </c>
      <c r="L75" s="34">
        <f>+L74*L19</f>
        <v>36884.779110000003</v>
      </c>
    </row>
    <row r="76" spans="2:12" x14ac:dyDescent="0.2">
      <c r="B76" s="1" t="s">
        <v>9</v>
      </c>
      <c r="I76" s="34">
        <f>+I75-I72</f>
        <v>61036.322</v>
      </c>
      <c r="K76" s="34">
        <f>+K75-K72</f>
        <v>39033.354919999998</v>
      </c>
      <c r="L76" s="34">
        <f>+L75-L72</f>
        <v>32956.866110000003</v>
      </c>
    </row>
    <row r="78" spans="2:12" s="51" customFormat="1" x14ac:dyDescent="0.2">
      <c r="B78" s="51" t="s">
        <v>95</v>
      </c>
      <c r="I78" s="51">
        <f>+I74/I68</f>
        <v>13.26366736176792</v>
      </c>
      <c r="K78" s="51">
        <f>+K74/K68</f>
        <v>9.5218070570432491</v>
      </c>
      <c r="L78" s="51">
        <f>+L74/L68</f>
        <v>8.9145606353266658</v>
      </c>
    </row>
    <row r="79" spans="2:12" x14ac:dyDescent="0.2">
      <c r="B79" s="1" t="s">
        <v>96</v>
      </c>
    </row>
    <row r="80" spans="2:12" x14ac:dyDescent="0.2">
      <c r="B80" s="1" t="s">
        <v>97</v>
      </c>
    </row>
    <row r="82" spans="2:24" x14ac:dyDescent="0.2">
      <c r="B82" s="39" t="s">
        <v>99</v>
      </c>
    </row>
    <row r="83" spans="2:24" s="34" customFormat="1" x14ac:dyDescent="0.2">
      <c r="B83" s="34" t="s">
        <v>100</v>
      </c>
      <c r="G83" s="34">
        <v>299.44</v>
      </c>
      <c r="H83" s="34">
        <f>382.635-G83</f>
        <v>83.194999999999993</v>
      </c>
      <c r="I83" s="34">
        <f>503.534-SUM(G83:H83)</f>
        <v>120.899</v>
      </c>
      <c r="J83" s="34">
        <f>+X83-SUM(G83:I83)</f>
        <v>344.58799999999997</v>
      </c>
      <c r="K83" s="34">
        <v>355.46800000000002</v>
      </c>
      <c r="L83" s="34">
        <f>425.333-K83</f>
        <v>69.865000000000009</v>
      </c>
      <c r="V83" s="34">
        <v>110.179</v>
      </c>
      <c r="W83" s="34">
        <v>545.63900000000001</v>
      </c>
      <c r="X83" s="34">
        <v>848.12199999999996</v>
      </c>
    </row>
    <row r="84" spans="2:24" s="34" customFormat="1" x14ac:dyDescent="0.2">
      <c r="B84" s="34" t="s">
        <v>101</v>
      </c>
      <c r="G84" s="34">
        <f>6.97+9.341</f>
        <v>16.311</v>
      </c>
      <c r="H84" s="34">
        <f>+(13.268+17.215)-G84</f>
        <v>14.172000000000001</v>
      </c>
      <c r="I84" s="34">
        <f>+(22.014+27.104)-SUM(G84:H84)</f>
        <v>18.634999999999994</v>
      </c>
      <c r="J84" s="34">
        <f>+X84-SUM(G84:I84)</f>
        <v>20.100999999999999</v>
      </c>
      <c r="K84" s="34">
        <f>16.519+7.404</f>
        <v>23.922999999999998</v>
      </c>
      <c r="L84" s="34">
        <f>+(21.562+13.396)-K84</f>
        <v>11.035</v>
      </c>
      <c r="V84" s="34">
        <f>16.221+12.772</f>
        <v>28.993000000000002</v>
      </c>
      <c r="W84" s="34">
        <f>25.128+24.012</f>
        <v>49.14</v>
      </c>
      <c r="X84" s="34">
        <f>35.086+34.133</f>
        <v>69.218999999999994</v>
      </c>
    </row>
    <row r="85" spans="2:24" s="34" customFormat="1" x14ac:dyDescent="0.2">
      <c r="B85" s="34" t="s">
        <v>102</v>
      </c>
      <c r="G85" s="34">
        <f>+G83-G84</f>
        <v>283.12900000000002</v>
      </c>
      <c r="H85" s="34">
        <f>+H83-H84</f>
        <v>69.022999999999996</v>
      </c>
      <c r="I85" s="34">
        <f>+I83-I84</f>
        <v>102.26400000000001</v>
      </c>
      <c r="J85" s="34">
        <f>+J83-J84</f>
        <v>324.48699999999997</v>
      </c>
      <c r="K85" s="34">
        <f>+K83-K84</f>
        <v>331.54500000000002</v>
      </c>
      <c r="L85" s="34">
        <f>+L83-L84</f>
        <v>58.830000000000013</v>
      </c>
      <c r="V85" s="34">
        <f>+V83-V84</f>
        <v>81.186000000000007</v>
      </c>
      <c r="W85" s="34">
        <f>+W83-W84</f>
        <v>496.49900000000002</v>
      </c>
      <c r="X85" s="34">
        <f>+X83-X84</f>
        <v>778.90300000000002</v>
      </c>
    </row>
    <row r="87" spans="2:24" x14ac:dyDescent="0.2">
      <c r="B87" s="1" t="s">
        <v>104</v>
      </c>
      <c r="J87" s="34">
        <f>+SUM(G83:J83)</f>
        <v>848.12199999999996</v>
      </c>
      <c r="K87" s="34">
        <f>+SUM(H83:K83)</f>
        <v>904.15000000000009</v>
      </c>
      <c r="L87" s="34">
        <f>+SUM(I83:L83)</f>
        <v>890.81999999999994</v>
      </c>
      <c r="V87" s="34">
        <f>+V85</f>
        <v>81.186000000000007</v>
      </c>
      <c r="W87" s="34">
        <f>+W85</f>
        <v>496.49900000000002</v>
      </c>
      <c r="X87" s="34">
        <f>+X85</f>
        <v>778.90300000000002</v>
      </c>
    </row>
    <row r="88" spans="2:24" x14ac:dyDescent="0.2">
      <c r="B88" s="1" t="s">
        <v>103</v>
      </c>
      <c r="J88" s="1">
        <f>+J87/J19</f>
        <v>2.5857299215551173</v>
      </c>
      <c r="K88" s="1">
        <f>+K87/K19</f>
        <v>2.7104117703486978</v>
      </c>
      <c r="L88" s="1">
        <f>+L87/L19</f>
        <v>2.6665589051429182</v>
      </c>
      <c r="V88" s="1">
        <f>+V87/V19</f>
        <v>0.27037395969667605</v>
      </c>
      <c r="W88" s="1">
        <f>+W87/W19</f>
        <v>1.5577416622219433</v>
      </c>
      <c r="X88" s="1">
        <f>+X87/X19</f>
        <v>2.3746970283627187</v>
      </c>
    </row>
    <row r="90" spans="2:24" s="51" customFormat="1" x14ac:dyDescent="0.2">
      <c r="B90" s="51" t="s">
        <v>105</v>
      </c>
      <c r="K90" s="51">
        <f>+K74/K88</f>
        <v>48.103392047779678</v>
      </c>
      <c r="L90" s="51">
        <f>+L74/L88</f>
        <v>41.405423216811485</v>
      </c>
    </row>
  </sheetData>
  <hyperlinks>
    <hyperlink ref="L1" r:id="rId1" xr:uid="{42F68236-20F5-44BE-BC14-3A3A9CD07562}"/>
    <hyperlink ref="K1" r:id="rId2" xr:uid="{73A982A4-672C-439E-8E98-2C6996327227}"/>
    <hyperlink ref="I1" r:id="rId3" xr:uid="{A4CCC264-5056-4121-92CC-90B800BB9618}"/>
    <hyperlink ref="J1" r:id="rId4" xr:uid="{37DFB104-F4C4-4B74-88A4-5605A4601F67}"/>
    <hyperlink ref="X1" r:id="rId5" xr:uid="{EC57FC55-488B-4F8D-BD8A-5304C80B943C}"/>
  </hyperlinks>
  <pageMargins left="0.7" right="0.7" top="0.75" bottom="0.75" header="0.3" footer="0.3"/>
  <ignoredErrors>
    <ignoredError sqref="J6:J19 Y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2024-11-20T11:12:11Z</dcterms:created>
  <dcterms:modified xsi:type="dcterms:W3CDTF">2024-11-20T13:40:18Z</dcterms:modified>
</cp:coreProperties>
</file>