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9C096BA0-E01B-4F0E-A722-74413E303A35}" xr6:coauthVersionLast="36" xr6:coauthVersionMax="47" xr10:uidLastSave="{00000000-0000-0000-0000-000000000000}"/>
  <bookViews>
    <workbookView xWindow="0" yWindow="495" windowWidth="29835"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0" i="2" l="1"/>
  <c r="AA77" i="2"/>
  <c r="AA76" i="2"/>
  <c r="P90" i="2"/>
  <c r="Q90" i="2"/>
  <c r="AA94" i="2" l="1"/>
  <c r="P94" i="2"/>
  <c r="Q94" i="2"/>
  <c r="Z92" i="2" l="1"/>
  <c r="Y92" i="2"/>
  <c r="AA92" i="2"/>
  <c r="Z86" i="2"/>
  <c r="AA86" i="2"/>
  <c r="P88" i="2"/>
  <c r="Q88" i="2"/>
  <c r="Q87" i="2" l="1"/>
  <c r="P87" i="2"/>
  <c r="O87" i="2"/>
  <c r="N87" i="2"/>
  <c r="M87" i="2"/>
  <c r="L87" i="2"/>
  <c r="K87" i="2"/>
  <c r="J87" i="2"/>
  <c r="I87" i="2"/>
  <c r="H87" i="2"/>
  <c r="P83" i="2"/>
  <c r="P82" i="2"/>
  <c r="P84" i="2" s="1"/>
  <c r="Q84" i="2"/>
  <c r="Q83" i="2"/>
  <c r="Q82" i="2"/>
  <c r="Q24" i="2" l="1"/>
  <c r="C35" i="1"/>
  <c r="M39" i="2" l="1"/>
  <c r="M42" i="2"/>
  <c r="M43" i="2"/>
  <c r="M44" i="2"/>
  <c r="Q44" i="2"/>
  <c r="Q43" i="2"/>
  <c r="Q42" i="2"/>
  <c r="Q39" i="2"/>
  <c r="Q80" i="2"/>
  <c r="C10" i="1"/>
  <c r="C9" i="1"/>
  <c r="Q67" i="2"/>
  <c r="Q71" i="2" s="1"/>
  <c r="Q74" i="2" s="1"/>
  <c r="Q57" i="2"/>
  <c r="Q54" i="2"/>
  <c r="C27" i="1"/>
  <c r="Q11" i="2"/>
  <c r="Q30" i="2" s="1"/>
  <c r="Q25" i="2"/>
  <c r="Q6" i="2"/>
  <c r="M45" i="2" l="1"/>
  <c r="Q45" i="2"/>
  <c r="Q14" i="2"/>
  <c r="Q17" i="2" s="1"/>
  <c r="Q60" i="2"/>
  <c r="Q76" i="2" s="1"/>
  <c r="Q77" i="2" s="1"/>
  <c r="C37" i="1" s="1"/>
  <c r="Q20" i="2"/>
  <c r="Q33" i="2"/>
  <c r="Q31" i="2"/>
  <c r="P67" i="2"/>
  <c r="P71" i="2" s="1"/>
  <c r="P74" i="2" s="1"/>
  <c r="P57" i="2"/>
  <c r="P54" i="2"/>
  <c r="P11" i="2"/>
  <c r="P30" i="2" s="1"/>
  <c r="P25" i="2"/>
  <c r="P24" i="2"/>
  <c r="P6" i="2"/>
  <c r="L25" i="2"/>
  <c r="H11" i="2"/>
  <c r="H14" i="2" s="1"/>
  <c r="L11" i="2"/>
  <c r="L30" i="2" s="1"/>
  <c r="I25" i="2"/>
  <c r="M25" i="2"/>
  <c r="L24" i="2"/>
  <c r="H6" i="2"/>
  <c r="L6" i="2"/>
  <c r="L26" i="2" s="1"/>
  <c r="I11" i="2"/>
  <c r="I30" i="2" s="1"/>
  <c r="M11" i="2"/>
  <c r="M30" i="2" s="1"/>
  <c r="J25" i="2"/>
  <c r="N25" i="2"/>
  <c r="M24" i="2"/>
  <c r="I6" i="2"/>
  <c r="M6" i="2"/>
  <c r="M26" i="2" s="1"/>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W33" i="1" s="1"/>
  <c r="T32" i="1"/>
  <c r="W32" i="1" s="1"/>
  <c r="T31" i="1"/>
  <c r="T30" i="1"/>
  <c r="W30" i="1" s="1"/>
  <c r="T29" i="1"/>
  <c r="W29" i="1" s="1"/>
  <c r="T28" i="1"/>
  <c r="W28" i="1" s="1"/>
  <c r="T27" i="1"/>
  <c r="T26" i="1"/>
  <c r="U26" i="1" s="1"/>
  <c r="T25" i="1"/>
  <c r="U24" i="1"/>
  <c r="T24" i="1"/>
  <c r="T23" i="1"/>
  <c r="T22" i="1"/>
  <c r="U22" i="1" s="1"/>
  <c r="T21" i="1"/>
  <c r="T20" i="1"/>
  <c r="U20" i="1" s="1"/>
  <c r="T19" i="1"/>
  <c r="W19" i="1" s="1"/>
  <c r="T18" i="1"/>
  <c r="T17" i="1"/>
  <c r="W17" i="1" s="1"/>
  <c r="T16" i="1"/>
  <c r="U16" i="1" s="1"/>
  <c r="T15" i="1"/>
  <c r="W15" i="1" s="1"/>
  <c r="T14" i="1"/>
  <c r="U14" i="1" s="1"/>
  <c r="T13" i="1"/>
  <c r="U13" i="1" s="1"/>
  <c r="T12" i="1"/>
  <c r="U12" i="1" s="1"/>
  <c r="T11" i="1"/>
  <c r="U11" i="1" s="1"/>
  <c r="T10" i="1"/>
  <c r="U10" i="1" s="1"/>
  <c r="T9" i="1"/>
  <c r="U9" i="1" s="1"/>
  <c r="T8" i="1"/>
  <c r="U8" i="1" s="1"/>
  <c r="T7" i="1"/>
  <c r="U7" i="1" s="1"/>
  <c r="V44" i="1" l="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P32" i="2"/>
  <c r="Y31" i="2"/>
  <c r="Y30" i="2"/>
  <c r="Y20" i="2"/>
  <c r="Y33" i="2"/>
  <c r="AA14" i="2"/>
  <c r="AA60" i="2"/>
  <c r="Z14" i="2"/>
  <c r="C8" i="1"/>
  <c r="C11" i="1"/>
  <c r="Y21" i="2" l="1"/>
  <c r="Y32" i="2"/>
  <c r="Z31" i="2"/>
  <c r="Z17" i="2"/>
  <c r="Z33" i="2" s="1"/>
  <c r="AA31" i="2"/>
  <c r="AA17" i="2"/>
  <c r="C12" i="1"/>
  <c r="C34" i="1" l="1"/>
  <c r="AA33" i="2"/>
  <c r="AA20" i="2"/>
  <c r="Z20" i="2"/>
  <c r="AA21" i="2" l="1"/>
  <c r="C41" i="1" s="1"/>
  <c r="AA32" i="2"/>
  <c r="Z21" i="2"/>
  <c r="Z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List>
</comments>
</file>

<file path=xl/sharedStrings.xml><?xml version="1.0" encoding="utf-8"?>
<sst xmlns="http://schemas.openxmlformats.org/spreadsheetml/2006/main" count="1464" uniqueCount="810">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</sst>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x"/>
    <numFmt numFmtId="166" formatCode="0.0"/>
    <numFmt numFmtId="167" formatCode="0.0%"/>
    <numFmt numFmtId="168" formatCode="0.0\x"/>
  </numFmts>
  <fonts count="13"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89">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167" fontId="10" fillId="0" borderId="0" xfId="0" applyNumberFormat="1" applyFont="1"/>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100</xdr:row>
      <xdr:rowOff>114300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306175" y="9525"/>
          <a:ext cx="0" cy="159734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100</xdr:row>
      <xdr:rowOff>123825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958050" y="19050"/>
          <a:ext cx="0" cy="162845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microsoft.com/office/2017/10/relationships/threadedComment" Target="../threadedComments/threadedComment1.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comments" Target="../comments1.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vmlDrawing" Target="../drawings/vmlDrawing1.vml"/><Relationship Id="rId5" Type="http://schemas.openxmlformats.org/officeDocument/2006/relationships/hyperlink" Target="https://about.underarmour.com/investor-relations/news-events-presentations/corporate-news/id/22166" TargetMode="External"/><Relationship Id="rId10" Type="http://schemas.openxmlformats.org/officeDocument/2006/relationships/drawing" Target="../drawings/drawing2.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G9" sqref="G9"/>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82" t="s">
        <v>2</v>
      </c>
      <c r="C5" s="83"/>
      <c r="D5" s="84"/>
      <c r="G5" s="82" t="s">
        <v>55</v>
      </c>
      <c r="H5" s="83"/>
      <c r="I5" s="83"/>
      <c r="J5" s="83"/>
      <c r="K5" s="83"/>
      <c r="L5" s="83"/>
      <c r="M5" s="83"/>
      <c r="N5" s="83"/>
      <c r="O5" s="84"/>
      <c r="R5" s="79" t="s">
        <v>754</v>
      </c>
      <c r="S5" s="80"/>
      <c r="T5" s="80"/>
      <c r="U5" s="80"/>
      <c r="V5" s="80"/>
      <c r="W5" s="81"/>
    </row>
    <row r="6" spans="2:23" x14ac:dyDescent="0.2">
      <c r="B6" s="4" t="s">
        <v>3</v>
      </c>
      <c r="C6" s="5">
        <v>6.69</v>
      </c>
      <c r="D6" s="6"/>
      <c r="G6" s="52">
        <v>44835</v>
      </c>
      <c r="H6" s="8" t="s">
        <v>807</v>
      </c>
      <c r="I6" s="8"/>
      <c r="J6" s="8"/>
      <c r="K6" s="8"/>
      <c r="L6" s="8"/>
      <c r="M6" s="8"/>
      <c r="N6" s="8"/>
      <c r="O6" s="9"/>
      <c r="R6" s="14" t="s">
        <v>745</v>
      </c>
      <c r="S6" s="34" t="s">
        <v>746</v>
      </c>
      <c r="T6" s="35" t="s">
        <v>747</v>
      </c>
      <c r="U6" s="35" t="s">
        <v>748</v>
      </c>
      <c r="V6" s="35" t="s">
        <v>749</v>
      </c>
      <c r="W6" s="36" t="s">
        <v>750</v>
      </c>
    </row>
    <row r="7" spans="2:23" x14ac:dyDescent="0.2">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3066.6959999999999</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2690.1169999999997</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82" t="s">
        <v>10</v>
      </c>
      <c r="C15" s="83"/>
      <c r="D15" s="84"/>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75" t="s">
        <v>63</v>
      </c>
      <c r="D16" s="76"/>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75" t="s">
        <v>64</v>
      </c>
      <c r="D17" s="76"/>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75" t="s">
        <v>65</v>
      </c>
      <c r="D18" s="76"/>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85" t="s">
        <v>67</v>
      </c>
      <c r="D19" s="86"/>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82" t="s">
        <v>13</v>
      </c>
      <c r="C22" s="83"/>
      <c r="D22" s="84"/>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75" t="s">
        <v>59</v>
      </c>
      <c r="D23" s="76"/>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75">
        <v>1996</v>
      </c>
      <c r="D24" s="76"/>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75">
        <v>422</v>
      </c>
      <c r="D26" s="76"/>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87">
        <f>'Financial Model'!Q52</f>
        <v>954.39400000000001</v>
      </c>
      <c r="D27" s="88"/>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75" t="s">
        <v>789</v>
      </c>
      <c r="D29" s="76"/>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77" t="s">
        <v>18</v>
      </c>
      <c r="D30" s="78"/>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82" t="s">
        <v>56</v>
      </c>
      <c r="C33" s="83"/>
      <c r="D33" s="84"/>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73">
        <f>C12/SUM('Financial Model'!N20:Q20)</f>
        <v>15.715778773521555</v>
      </c>
      <c r="D34" s="74"/>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73">
        <f>C6/SUM('Financial Model'!N21:Q21)</f>
        <v>18.4823862349457</v>
      </c>
      <c r="D35" s="74"/>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75"/>
      <c r="D36" s="76"/>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73">
        <f>C6/'Financial Model'!Q77</f>
        <v>1.7736424834957014</v>
      </c>
      <c r="D37" s="74"/>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c r="C38" s="8"/>
      <c r="D38" s="9"/>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c r="C39" s="8"/>
      <c r="D39" s="9"/>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71">
        <f>C6/'Financial Model'!AA21</f>
        <v>8.6491744709215048</v>
      </c>
      <c r="D41" s="72"/>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1">
    <mergeCell ref="R5:W5"/>
    <mergeCell ref="G5:O5"/>
    <mergeCell ref="B33:D33"/>
    <mergeCell ref="B5:D5"/>
    <mergeCell ref="B15:D15"/>
    <mergeCell ref="B22:D22"/>
    <mergeCell ref="C16:D16"/>
    <mergeCell ref="C17:D17"/>
    <mergeCell ref="C18:D18"/>
    <mergeCell ref="C19:D19"/>
    <mergeCell ref="C27:D27"/>
    <mergeCell ref="C41:D41"/>
    <mergeCell ref="C34:D34"/>
    <mergeCell ref="C35:D35"/>
    <mergeCell ref="C23:D23"/>
    <mergeCell ref="C24:D24"/>
    <mergeCell ref="C30:D30"/>
    <mergeCell ref="C26:D26"/>
    <mergeCell ref="C37:D37"/>
    <mergeCell ref="C36:D36"/>
    <mergeCell ref="C29:D2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AT94"/>
  <sheetViews>
    <sheetView workbookViewId="0">
      <pane xSplit="2" ySplit="2" topLeftCell="C66" activePane="bottomRight" state="frozen"/>
      <selection pane="topRight" activeCell="C1" sqref="C1"/>
      <selection pane="bottomLeft" activeCell="A3" sqref="A3"/>
      <selection pane="bottomRight" activeCell="M94" sqref="M94"/>
    </sheetView>
  </sheetViews>
  <sheetFormatPr defaultColWidth="9.140625" defaultRowHeight="12.75" x14ac:dyDescent="0.2"/>
  <cols>
    <col min="1" max="1" width="9.140625" style="1"/>
    <col min="2" max="2" width="23.28515625" style="1" bestFit="1" customWidth="1"/>
    <col min="3" max="12" width="9.140625" style="1"/>
    <col min="13" max="13" width="9.140625" style="1" customWidth="1"/>
    <col min="14" max="16384" width="9.140625" style="1"/>
  </cols>
  <sheetData>
    <row r="1" spans="2:46"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16" t="s">
        <v>32</v>
      </c>
      <c r="S1" s="16" t="s">
        <v>788</v>
      </c>
      <c r="W1" s="16" t="s">
        <v>111</v>
      </c>
      <c r="X1" s="16" t="s">
        <v>110</v>
      </c>
      <c r="Y1" s="16" t="s">
        <v>33</v>
      </c>
      <c r="Z1" s="50" t="s">
        <v>34</v>
      </c>
      <c r="AA1" s="50" t="s">
        <v>35</v>
      </c>
      <c r="AB1" s="16" t="s">
        <v>36</v>
      </c>
      <c r="AC1" s="16" t="s">
        <v>37</v>
      </c>
      <c r="AD1" s="16" t="s">
        <v>38</v>
      </c>
      <c r="AE1" s="16" t="s">
        <v>39</v>
      </c>
      <c r="AF1" s="16" t="s">
        <v>40</v>
      </c>
      <c r="AG1" s="16" t="s">
        <v>41</v>
      </c>
      <c r="AH1" s="16" t="s">
        <v>42</v>
      </c>
      <c r="AI1" s="16" t="s">
        <v>43</v>
      </c>
      <c r="AJ1" s="16" t="s">
        <v>44</v>
      </c>
      <c r="AK1" s="16" t="s">
        <v>45</v>
      </c>
      <c r="AL1" s="16" t="s">
        <v>46</v>
      </c>
      <c r="AM1" s="16" t="s">
        <v>47</v>
      </c>
      <c r="AN1" s="16" t="s">
        <v>48</v>
      </c>
      <c r="AO1" s="16" t="s">
        <v>49</v>
      </c>
      <c r="AP1" s="16" t="s">
        <v>50</v>
      </c>
      <c r="AQ1" s="16" t="s">
        <v>51</v>
      </c>
      <c r="AR1" s="16" t="s">
        <v>52</v>
      </c>
      <c r="AS1" s="16" t="s">
        <v>53</v>
      </c>
      <c r="AT1" s="16" t="s">
        <v>54</v>
      </c>
    </row>
    <row r="2" spans="2:46" s="18" customFormat="1" x14ac:dyDescent="0.2">
      <c r="B2" s="17"/>
      <c r="H2" s="24">
        <v>43921</v>
      </c>
      <c r="I2" s="24">
        <v>44012</v>
      </c>
      <c r="J2" s="24">
        <v>44104</v>
      </c>
      <c r="K2" s="24">
        <v>44196</v>
      </c>
      <c r="L2" s="24">
        <v>44286</v>
      </c>
      <c r="M2" s="24">
        <v>44377</v>
      </c>
      <c r="N2" s="24">
        <v>44469</v>
      </c>
      <c r="O2" s="24">
        <v>44561</v>
      </c>
      <c r="P2" s="24">
        <v>44651</v>
      </c>
      <c r="Q2" s="24">
        <v>44742</v>
      </c>
      <c r="Y2" s="18" t="s">
        <v>81</v>
      </c>
      <c r="Z2" s="24">
        <v>44196</v>
      </c>
      <c r="AA2" s="24">
        <v>44561</v>
      </c>
    </row>
    <row r="3" spans="2:46"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65"/>
      <c r="S3" s="56"/>
      <c r="T3" s="56"/>
      <c r="U3" s="56"/>
      <c r="V3" s="56"/>
      <c r="W3" s="56"/>
      <c r="X3" s="56"/>
      <c r="Y3" s="56">
        <v>3470.2849999999999</v>
      </c>
      <c r="Z3" s="56">
        <v>2882.5619999999999</v>
      </c>
      <c r="AA3" s="56">
        <v>3841.2489999999998</v>
      </c>
    </row>
    <row r="4" spans="2:46"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65"/>
      <c r="S4" s="56"/>
      <c r="T4" s="56"/>
      <c r="U4" s="56"/>
      <c r="V4" s="56"/>
      <c r="W4" s="56"/>
      <c r="X4" s="56"/>
      <c r="Y4" s="56">
        <v>1086.5509999999999</v>
      </c>
      <c r="Z4" s="56">
        <v>934.33299999999997</v>
      </c>
      <c r="AA4" s="56">
        <v>1264.127</v>
      </c>
    </row>
    <row r="5" spans="2:46"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66"/>
      <c r="S5" s="56"/>
      <c r="T5" s="56"/>
      <c r="U5" s="56"/>
      <c r="V5" s="56"/>
      <c r="W5" s="56"/>
      <c r="X5" s="56"/>
      <c r="Y5" s="56">
        <v>416.35399999999998</v>
      </c>
      <c r="Z5" s="56">
        <v>414.08199999999999</v>
      </c>
      <c r="AA5" s="56">
        <v>461.89400000000001</v>
      </c>
    </row>
    <row r="6" spans="2:46" s="58" customFormat="1" x14ac:dyDescent="0.2">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c r="S6" s="55"/>
      <c r="T6" s="55"/>
      <c r="U6" s="55"/>
      <c r="V6" s="55"/>
      <c r="W6" s="55"/>
      <c r="X6" s="55"/>
      <c r="Y6" s="55">
        <f>SUM(Y3:Y5)</f>
        <v>4973.1899999999996</v>
      </c>
      <c r="Z6" s="55">
        <f>SUM(Z3:Z5)</f>
        <v>4230.9769999999999</v>
      </c>
      <c r="AA6" s="55">
        <f>SUM(AA3:AA5)</f>
        <v>5567.27</v>
      </c>
    </row>
    <row r="7" spans="2:46"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c r="S7" s="56"/>
      <c r="T7" s="56"/>
      <c r="U7" s="56"/>
      <c r="V7" s="56"/>
      <c r="W7" s="56"/>
      <c r="X7" s="56"/>
      <c r="Y7" s="56">
        <v>138.77500000000001</v>
      </c>
      <c r="Z7" s="56">
        <v>105.779</v>
      </c>
      <c r="AA7" s="56">
        <v>112.623</v>
      </c>
    </row>
    <row r="8" spans="2:46"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c r="S8" s="56"/>
      <c r="T8" s="56"/>
      <c r="U8" s="56"/>
      <c r="V8" s="56"/>
      <c r="W8" s="56"/>
      <c r="X8" s="56"/>
      <c r="Y8" s="56">
        <v>155.167</v>
      </c>
      <c r="Z8" s="56">
        <v>137.911</v>
      </c>
      <c r="AA8" s="56">
        <v>3.573</v>
      </c>
    </row>
    <row r="9" spans="2:46"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Y9" s="21">
        <v>5267.1319999999996</v>
      </c>
      <c r="Z9" s="21">
        <v>4474.6670000000004</v>
      </c>
      <c r="AA9" s="21">
        <v>5683.4660000000003</v>
      </c>
    </row>
    <row r="10" spans="2:46"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Y10" s="22">
        <v>2796.5990000000002</v>
      </c>
      <c r="Z10" s="22">
        <v>2314.5720000000001</v>
      </c>
      <c r="AA10" s="22">
        <v>2821.9670000000001</v>
      </c>
    </row>
    <row r="11" spans="2:46" s="2" customFormat="1" x14ac:dyDescent="0.2">
      <c r="B11" s="2" t="s">
        <v>70</v>
      </c>
      <c r="H11" s="21">
        <f t="shared" ref="H11:Q11" si="1">H9-H10</f>
        <v>430.98400000000004</v>
      </c>
      <c r="I11" s="21">
        <f t="shared" si="1"/>
        <v>349.16899999999998</v>
      </c>
      <c r="J11" s="21">
        <f t="shared" si="1"/>
        <v>686.31999999999994</v>
      </c>
      <c r="K11" s="21">
        <f t="shared" si="1"/>
        <v>693.62200000000007</v>
      </c>
      <c r="L11" s="21">
        <f t="shared" si="1"/>
        <v>628.64099999999996</v>
      </c>
      <c r="M11" s="21">
        <f t="shared" si="1"/>
        <v>668.82100000000014</v>
      </c>
      <c r="N11" s="21">
        <f t="shared" si="1"/>
        <v>788.10399999999993</v>
      </c>
      <c r="O11" s="21">
        <f t="shared" si="1"/>
        <v>775.93299999999988</v>
      </c>
      <c r="P11" s="21">
        <f t="shared" si="1"/>
        <v>605.16399999999999</v>
      </c>
      <c r="Q11" s="21">
        <f t="shared" si="1"/>
        <v>630.197</v>
      </c>
      <c r="Y11" s="21">
        <f>Y9-Y10</f>
        <v>2470.5329999999994</v>
      </c>
      <c r="Z11" s="21">
        <f>Z9-Z10</f>
        <v>2160.0950000000003</v>
      </c>
      <c r="AA11" s="21">
        <f>AA9-AA10</f>
        <v>2861.4990000000003</v>
      </c>
    </row>
    <row r="12" spans="2:46"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Y12" s="22">
        <v>2233.7600000000002</v>
      </c>
      <c r="Z12" s="22">
        <v>2171.9340000000002</v>
      </c>
      <c r="AA12" s="22">
        <v>2334.6909999999998</v>
      </c>
    </row>
    <row r="13" spans="2:46"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Y13" s="22">
        <v>0</v>
      </c>
      <c r="Z13" s="22">
        <v>601.59900000000005</v>
      </c>
      <c r="AA13" s="22">
        <v>40.518000000000001</v>
      </c>
    </row>
    <row r="14" spans="2:46" s="2" customFormat="1" x14ac:dyDescent="0.2">
      <c r="B14" s="2" t="s">
        <v>73</v>
      </c>
      <c r="H14" s="21">
        <f t="shared" ref="H14:Q14" si="2">H11-H12-H13</f>
        <v>-558.18000000000006</v>
      </c>
      <c r="I14" s="21">
        <f t="shared" si="2"/>
        <v>-169.67400000000004</v>
      </c>
      <c r="J14" s="21">
        <f t="shared" si="2"/>
        <v>58.569999999999965</v>
      </c>
      <c r="K14" s="21">
        <f t="shared" si="2"/>
        <v>55.846000000000053</v>
      </c>
      <c r="L14" s="21">
        <f t="shared" si="2"/>
        <v>106.88999999999993</v>
      </c>
      <c r="M14" s="21">
        <f t="shared" si="2"/>
        <v>121.2050000000001</v>
      </c>
      <c r="N14" s="21">
        <f t="shared" si="2"/>
        <v>172.06399999999991</v>
      </c>
      <c r="O14" s="21">
        <f t="shared" si="2"/>
        <v>86.13099999999983</v>
      </c>
      <c r="P14" s="21">
        <f t="shared" si="2"/>
        <v>-45.956000000000039</v>
      </c>
      <c r="Q14" s="21">
        <f t="shared" si="2"/>
        <v>34.482999999999947</v>
      </c>
      <c r="Y14" s="21">
        <f>Y11-Y12-Y13</f>
        <v>236.77299999999923</v>
      </c>
      <c r="Z14" s="21">
        <f>Z11-Z12-Z13</f>
        <v>-613.43799999999999</v>
      </c>
      <c r="AA14" s="21">
        <f>AA11-AA12-AA13</f>
        <v>486.29000000000042</v>
      </c>
    </row>
    <row r="15" spans="2:46"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Y15" s="22">
        <v>-21.24</v>
      </c>
      <c r="Z15" s="22">
        <v>-47.259</v>
      </c>
      <c r="AA15" s="22">
        <v>-44.3</v>
      </c>
    </row>
    <row r="16" spans="2:46"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Y16" s="22">
        <v>-5.6879999999999997</v>
      </c>
      <c r="Z16" s="22">
        <v>168.15299999999999</v>
      </c>
      <c r="AA16" s="22">
        <v>-51.113</v>
      </c>
    </row>
    <row r="17" spans="2:27" x14ac:dyDescent="0.2">
      <c r="B17" s="1" t="s">
        <v>79</v>
      </c>
      <c r="H17" s="22">
        <f t="shared" ref="H17:Q17" si="3">H14+H15+H16</f>
        <v>-562.60600000000011</v>
      </c>
      <c r="I17" s="22">
        <f t="shared" si="3"/>
        <v>-185.85300000000004</v>
      </c>
      <c r="J17" s="22">
        <f t="shared" si="3"/>
        <v>36.430999999999969</v>
      </c>
      <c r="K17" s="22">
        <f t="shared" si="3"/>
        <v>219.48400000000004</v>
      </c>
      <c r="L17" s="22">
        <f t="shared" si="3"/>
        <v>85.572999999999922</v>
      </c>
      <c r="M17" s="22">
        <f t="shared" si="3"/>
        <v>173.00600000000009</v>
      </c>
      <c r="N17" s="22">
        <f t="shared" si="3"/>
        <v>133.32699999999991</v>
      </c>
      <c r="O17" s="22">
        <f t="shared" si="3"/>
        <v>102.57299999999984</v>
      </c>
      <c r="P17" s="22">
        <f t="shared" si="3"/>
        <v>-52.161000000000044</v>
      </c>
      <c r="Q17" s="22">
        <f t="shared" si="3"/>
        <v>14.236999999999949</v>
      </c>
      <c r="Y17" s="22">
        <f>Y14+Y15+Y16</f>
        <v>209.84499999999923</v>
      </c>
      <c r="Z17" s="22">
        <f>Z14+Z15+Z16</f>
        <v>-492.54399999999998</v>
      </c>
      <c r="AA17" s="22">
        <f>AA14+AA15+AA16</f>
        <v>390.87700000000041</v>
      </c>
    </row>
    <row r="18" spans="2:27"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Y18" s="22">
        <v>70.024000000000001</v>
      </c>
      <c r="Z18" s="22">
        <v>49.387</v>
      </c>
      <c r="AA18" s="22">
        <v>32.072000000000003</v>
      </c>
    </row>
    <row r="19" spans="2:27"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Y19" s="22">
        <v>-47.679000000000002</v>
      </c>
      <c r="Z19" s="22">
        <v>-7.2460000000000004</v>
      </c>
      <c r="AA19" s="22">
        <v>1.2549999999999999</v>
      </c>
    </row>
    <row r="20" spans="2:27" s="2" customFormat="1" x14ac:dyDescent="0.2">
      <c r="B20" s="2" t="s">
        <v>75</v>
      </c>
      <c r="H20" s="21">
        <f t="shared" ref="H20:Q20" si="4">H17-H18+H19</f>
        <v>-589.68100000000015</v>
      </c>
      <c r="I20" s="21">
        <f t="shared" si="4"/>
        <v>-182.89500000000004</v>
      </c>
      <c r="J20" s="21">
        <f t="shared" si="4"/>
        <v>38.94599999999997</v>
      </c>
      <c r="K20" s="21">
        <f t="shared" si="4"/>
        <v>184.45400000000004</v>
      </c>
      <c r="L20" s="21">
        <f t="shared" si="4"/>
        <v>77.751999999999924</v>
      </c>
      <c r="M20" s="21">
        <f t="shared" si="4"/>
        <v>162.80900000000011</v>
      </c>
      <c r="N20" s="21">
        <f t="shared" si="4"/>
        <v>113.4439999999999</v>
      </c>
      <c r="O20" s="21">
        <f t="shared" si="4"/>
        <v>109.65699999999984</v>
      </c>
      <c r="P20" s="21">
        <f t="shared" si="4"/>
        <v>-59.610000000000042</v>
      </c>
      <c r="Q20" s="67">
        <f t="shared" si="4"/>
        <v>7.6819999999999489</v>
      </c>
      <c r="Y20" s="21">
        <f>Y17-Y18+Y19</f>
        <v>92.141999999999229</v>
      </c>
      <c r="Z20" s="21">
        <f>Z17-Z18+Z19</f>
        <v>-549.17700000000002</v>
      </c>
      <c r="AA20" s="21">
        <f>AA17-AA18+AA19</f>
        <v>360.0600000000004</v>
      </c>
    </row>
    <row r="21" spans="2:27" x14ac:dyDescent="0.2">
      <c r="B21" s="1" t="s">
        <v>76</v>
      </c>
      <c r="H21" s="23">
        <f t="shared" ref="H21:Q21" si="5">H20/H22</f>
        <v>-1.3020948570343436</v>
      </c>
      <c r="I21" s="23">
        <f t="shared" si="5"/>
        <v>-0.40274508335884057</v>
      </c>
      <c r="J21" s="23">
        <f t="shared" si="5"/>
        <v>8.528184218939544E-2</v>
      </c>
      <c r="K21" s="23">
        <f t="shared" si="5"/>
        <v>0.40556187075510497</v>
      </c>
      <c r="L21" s="23">
        <f t="shared" si="5"/>
        <v>0.1705035371721042</v>
      </c>
      <c r="M21" s="23">
        <f t="shared" si="5"/>
        <v>0.35423756103080067</v>
      </c>
      <c r="N21" s="23">
        <f t="shared" si="5"/>
        <v>0.24136918566303953</v>
      </c>
      <c r="O21" s="23">
        <f t="shared" si="5"/>
        <v>0.230285733486217</v>
      </c>
      <c r="P21" s="23">
        <f t="shared" si="5"/>
        <v>-0.12644641247282185</v>
      </c>
      <c r="Q21" s="23">
        <f t="shared" si="5"/>
        <v>1.675774134790517E-2</v>
      </c>
      <c r="Y21" s="23">
        <f>Y20/Y22</f>
        <v>0.20432229623650497</v>
      </c>
      <c r="Z21" s="23">
        <f>Z20/Z22</f>
        <v>-1.2094038833796898</v>
      </c>
      <c r="AA21" s="23">
        <f>AA20/AA22</f>
        <v>0.77348422355124846</v>
      </c>
    </row>
    <row r="22" spans="2:27"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Y22" s="22">
        <v>450.964</v>
      </c>
      <c r="Z22" s="22">
        <v>454.089</v>
      </c>
      <c r="AA22" s="22">
        <v>465.50400000000002</v>
      </c>
    </row>
    <row r="24" spans="2:27"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 si="6">Q9/M9-1</f>
        <v>-1.8327322879040375E-3</v>
      </c>
      <c r="Y24" s="16" t="s">
        <v>87</v>
      </c>
      <c r="Z24" s="26">
        <f>Z9/Y9-1</f>
        <v>-0.15045474463142361</v>
      </c>
      <c r="AA24" s="26">
        <f>AA9/Z9-1</f>
        <v>0.27014278380938728</v>
      </c>
    </row>
    <row r="25" spans="2:27" x14ac:dyDescent="0.2">
      <c r="B25" s="1" t="s">
        <v>83</v>
      </c>
      <c r="I25" s="25">
        <f t="shared" ref="I25:P25" si="7">I9/H9-1</f>
        <v>-0.23929308565531482</v>
      </c>
      <c r="J25" s="25">
        <f t="shared" si="7"/>
        <v>1.0250706573964163</v>
      </c>
      <c r="K25" s="25">
        <f t="shared" si="7"/>
        <v>-2.0414913668396983E-2</v>
      </c>
      <c r="L25" s="25">
        <f t="shared" si="7"/>
        <v>-0.10441270126217628</v>
      </c>
      <c r="M25" s="25">
        <f t="shared" si="7"/>
        <v>7.5039273939206064E-2</v>
      </c>
      <c r="N25" s="25">
        <f t="shared" si="7"/>
        <v>0.14353911925264162</v>
      </c>
      <c r="O25" s="25">
        <f t="shared" si="7"/>
        <v>-1.056399996894275E-2</v>
      </c>
      <c r="P25" s="25">
        <f t="shared" si="7"/>
        <v>-0.14926710284101874</v>
      </c>
      <c r="Q25" s="25">
        <f t="shared" ref="Q25" si="8">Q9/P9-1</f>
        <v>3.6982347447432451E-2</v>
      </c>
      <c r="Y25" s="16" t="s">
        <v>87</v>
      </c>
      <c r="Z25" s="16" t="s">
        <v>87</v>
      </c>
      <c r="AA25" s="16" t="s">
        <v>87</v>
      </c>
    </row>
    <row r="26" spans="2:27"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 si="9">Q6/M6-1</f>
        <v>-1.1914898101912375E-2</v>
      </c>
      <c r="Y26" s="16" t="s">
        <v>87</v>
      </c>
      <c r="Z26" s="26">
        <f>Z6/Y6-1</f>
        <v>-0.14924284010866262</v>
      </c>
      <c r="AA26" s="26">
        <f>AA6/Z6-1</f>
        <v>0.31583556232993004</v>
      </c>
    </row>
    <row r="27" spans="2:27" s="51" customFormat="1" x14ac:dyDescent="0.2">
      <c r="B27" s="51" t="s">
        <v>771</v>
      </c>
      <c r="I27" s="25">
        <f t="shared" ref="I27:P27" si="10">I6/H6-1</f>
        <v>-0.23828539389738534</v>
      </c>
      <c r="J27" s="25">
        <f t="shared" si="10"/>
        <v>1.0549972940599743</v>
      </c>
      <c r="K27" s="25">
        <f t="shared" si="10"/>
        <v>-3.8935998856132414E-2</v>
      </c>
      <c r="L27" s="25">
        <f t="shared" si="10"/>
        <v>-6.1431667318194938E-2</v>
      </c>
      <c r="M27" s="25">
        <f t="shared" si="10"/>
        <v>7.4285635721933918E-2</v>
      </c>
      <c r="N27" s="25">
        <f t="shared" si="10"/>
        <v>0.13999233628213337</v>
      </c>
      <c r="O27" s="25">
        <f t="shared" si="10"/>
        <v>-1.726150932381687E-2</v>
      </c>
      <c r="P27" s="25">
        <f t="shared" si="10"/>
        <v>-0.14652505955360839</v>
      </c>
      <c r="Q27" s="25">
        <f t="shared" ref="Q27" si="11">Q6/P6-1</f>
        <v>3.3388630685857734E-2</v>
      </c>
      <c r="Y27" s="16" t="s">
        <v>87</v>
      </c>
      <c r="Z27" s="16" t="s">
        <v>87</v>
      </c>
      <c r="AA27" s="16" t="s">
        <v>87</v>
      </c>
    </row>
    <row r="30" spans="2:27" x14ac:dyDescent="0.2">
      <c r="B30" s="1" t="s">
        <v>84</v>
      </c>
      <c r="H30" s="25">
        <f t="shared" ref="H30:P30" si="12">H11/H9</f>
        <v>0.4633040935672515</v>
      </c>
      <c r="I30" s="25">
        <f t="shared" si="12"/>
        <v>0.49342744898535978</v>
      </c>
      <c r="J30" s="25">
        <f t="shared" si="12"/>
        <v>0.47893226965969093</v>
      </c>
      <c r="K30" s="25">
        <f t="shared" si="12"/>
        <v>0.49411511605210556</v>
      </c>
      <c r="L30" s="25">
        <f t="shared" si="12"/>
        <v>0.50003460083757889</v>
      </c>
      <c r="M30" s="25">
        <f t="shared" si="12"/>
        <v>0.49486065463391976</v>
      </c>
      <c r="N30" s="25">
        <f t="shared" si="12"/>
        <v>0.50992409086321089</v>
      </c>
      <c r="O30" s="25">
        <f t="shared" si="12"/>
        <v>0.50740940554078751</v>
      </c>
      <c r="P30" s="25">
        <f t="shared" si="12"/>
        <v>0.46517262451525621</v>
      </c>
      <c r="Q30" s="25">
        <f t="shared" ref="Q30" si="13">Q11/Q9</f>
        <v>0.46713889776340067</v>
      </c>
      <c r="Y30" s="25">
        <f>Y11/Y9</f>
        <v>0.4690471019142865</v>
      </c>
      <c r="Z30" s="25">
        <f>Z11/Z9</f>
        <v>0.48273871552899916</v>
      </c>
      <c r="AA30" s="25">
        <f>AA11/AA9</f>
        <v>0.50347780738021486</v>
      </c>
    </row>
    <row r="31" spans="2:27" x14ac:dyDescent="0.2">
      <c r="B31" s="1" t="s">
        <v>85</v>
      </c>
      <c r="H31" s="25">
        <f t="shared" ref="H31:P31" si="14">H14/H9</f>
        <v>-0.60003869969040258</v>
      </c>
      <c r="I31" s="25">
        <f t="shared" si="14"/>
        <v>-0.23977446159063937</v>
      </c>
      <c r="J31" s="25">
        <f t="shared" si="14"/>
        <v>4.0871696925585857E-2</v>
      </c>
      <c r="K31" s="25">
        <f t="shared" si="14"/>
        <v>3.9782983773648924E-2</v>
      </c>
      <c r="L31" s="25">
        <f t="shared" si="14"/>
        <v>8.5022609857659262E-2</v>
      </c>
      <c r="M31" s="25">
        <f t="shared" si="14"/>
        <v>8.9679578908114843E-2</v>
      </c>
      <c r="N31" s="25">
        <f t="shared" si="14"/>
        <v>0.11132994981663266</v>
      </c>
      <c r="O31" s="25">
        <f t="shared" si="14"/>
        <v>5.6324037653551901E-2</v>
      </c>
      <c r="P31" s="25">
        <f t="shared" si="14"/>
        <v>-3.5325090607212478E-2</v>
      </c>
      <c r="Q31" s="25">
        <f t="shared" ref="Q31" si="15">Q14/Q9</f>
        <v>2.5560817667452114E-2</v>
      </c>
      <c r="Y31" s="25">
        <f>Y14/Y9</f>
        <v>4.4952926943923041E-2</v>
      </c>
      <c r="Z31" s="25">
        <f>Z14/Z9</f>
        <v>-0.13709131875064667</v>
      </c>
      <c r="AA31" s="25">
        <f>AA14/AA9</f>
        <v>8.5562225585584642E-2</v>
      </c>
    </row>
    <row r="32" spans="2:27" x14ac:dyDescent="0.2">
      <c r="B32" s="1" t="s">
        <v>86</v>
      </c>
      <c r="H32" s="25">
        <f t="shared" ref="H32:P32" si="16">H20/H9</f>
        <v>-0.63390200378396988</v>
      </c>
      <c r="I32" s="25">
        <f t="shared" si="16"/>
        <v>-0.258457690351026</v>
      </c>
      <c r="J32" s="25">
        <f t="shared" si="16"/>
        <v>2.7177550084751007E-2</v>
      </c>
      <c r="K32" s="25">
        <f t="shared" si="16"/>
        <v>0.13139939277628895</v>
      </c>
      <c r="L32" s="25">
        <f t="shared" si="16"/>
        <v>6.1845616630673783E-2</v>
      </c>
      <c r="M32" s="25">
        <f t="shared" si="16"/>
        <v>0.12046237830494838</v>
      </c>
      <c r="N32" s="25">
        <f t="shared" si="16"/>
        <v>7.3401262477903989E-2</v>
      </c>
      <c r="O32" s="25">
        <f t="shared" si="16"/>
        <v>7.1708502130191726E-2</v>
      </c>
      <c r="P32" s="25">
        <f t="shared" si="16"/>
        <v>-4.5820538147269906E-2</v>
      </c>
      <c r="Q32" s="25">
        <f t="shared" ref="Q32" si="17">Q20/Q9</f>
        <v>5.6943479778837729E-3</v>
      </c>
      <c r="Y32" s="25">
        <f>Y20/Y9</f>
        <v>1.7493770803541517E-2</v>
      </c>
      <c r="Z32" s="25">
        <f>Z20/Z9</f>
        <v>-0.12273025009458804</v>
      </c>
      <c r="AA32" s="25">
        <f>AA20/AA9</f>
        <v>6.3352186852177944E-2</v>
      </c>
    </row>
    <row r="33" spans="2:27" x14ac:dyDescent="0.2">
      <c r="B33" s="1" t="s">
        <v>74</v>
      </c>
      <c r="H33" s="25">
        <f t="shared" ref="H33:P33" si="18">H18/H17</f>
        <v>-3.8298560626797436E-2</v>
      </c>
      <c r="I33" s="25">
        <f t="shared" si="18"/>
        <v>1.687893119831264E-2</v>
      </c>
      <c r="J33" s="25">
        <f t="shared" si="18"/>
        <v>-0.10194614476681955</v>
      </c>
      <c r="K33" s="25">
        <f t="shared" si="18"/>
        <v>0.15805252319075647</v>
      </c>
      <c r="L33" s="25">
        <f t="shared" si="18"/>
        <v>0.11546866418145921</v>
      </c>
      <c r="M33" s="25">
        <f t="shared" si="18"/>
        <v>5.7957527484595879E-2</v>
      </c>
      <c r="N33" s="25">
        <f t="shared" si="18"/>
        <v>0.14222175553338792</v>
      </c>
      <c r="O33" s="25">
        <f t="shared" si="18"/>
        <v>-6.6274750665379883E-2</v>
      </c>
      <c r="P33" s="25">
        <f t="shared" si="18"/>
        <v>-0.15684131822626085</v>
      </c>
      <c r="Q33" s="25">
        <f t="shared" ref="Q33" si="19">Q18/Q17</f>
        <v>0.39734494626677114</v>
      </c>
      <c r="Y33" s="25">
        <f>Y18/Y17</f>
        <v>0.33369391693869405</v>
      </c>
      <c r="Z33" s="25">
        <f>Z18/Z17</f>
        <v>-0.10026921452702703</v>
      </c>
      <c r="AA33" s="25">
        <f>AA18/AA17</f>
        <v>8.2051387009212537E-2</v>
      </c>
    </row>
    <row r="36" spans="2:27" x14ac:dyDescent="0.2">
      <c r="B36" s="27" t="s">
        <v>782</v>
      </c>
    </row>
    <row r="37" spans="2:27" s="32" customFormat="1" x14ac:dyDescent="0.2">
      <c r="B37" s="69" t="s">
        <v>794</v>
      </c>
      <c r="M37" s="32">
        <v>178</v>
      </c>
      <c r="Q37" s="32">
        <v>179</v>
      </c>
    </row>
    <row r="38" spans="2:27" s="32" customFormat="1" x14ac:dyDescent="0.2">
      <c r="B38" s="69" t="s">
        <v>795</v>
      </c>
      <c r="M38" s="32">
        <v>17</v>
      </c>
      <c r="Q38" s="32">
        <v>18</v>
      </c>
    </row>
    <row r="39" spans="2:27" s="32" customFormat="1" x14ac:dyDescent="0.2">
      <c r="B39" s="68" t="s">
        <v>796</v>
      </c>
      <c r="M39" s="32">
        <f>M37+M38</f>
        <v>195</v>
      </c>
      <c r="Q39" s="32">
        <f>Q37+Q38</f>
        <v>197</v>
      </c>
    </row>
    <row r="40" spans="2:27" s="32" customFormat="1" x14ac:dyDescent="0.2">
      <c r="B40" s="69" t="s">
        <v>797</v>
      </c>
      <c r="M40" s="32">
        <v>137</v>
      </c>
      <c r="Q40" s="32">
        <v>156</v>
      </c>
    </row>
    <row r="41" spans="2:27" s="32" customFormat="1" x14ac:dyDescent="0.2">
      <c r="B41" s="69" t="s">
        <v>798</v>
      </c>
      <c r="M41" s="32">
        <v>95</v>
      </c>
      <c r="Q41" s="32">
        <v>87</v>
      </c>
    </row>
    <row r="42" spans="2:27" s="32" customFormat="1" x14ac:dyDescent="0.2">
      <c r="B42" s="68" t="s">
        <v>799</v>
      </c>
      <c r="M42" s="32">
        <f>M40+M41</f>
        <v>232</v>
      </c>
      <c r="Q42" s="32">
        <f>Q40+Q41</f>
        <v>243</v>
      </c>
    </row>
    <row r="43" spans="2:27" x14ac:dyDescent="0.2">
      <c r="B43" s="51" t="s">
        <v>802</v>
      </c>
      <c r="M43" s="32">
        <f>M37+M40</f>
        <v>315</v>
      </c>
      <c r="Q43" s="32">
        <f>Q37+Q40</f>
        <v>335</v>
      </c>
    </row>
    <row r="44" spans="2:27" x14ac:dyDescent="0.2">
      <c r="B44" s="51" t="s">
        <v>801</v>
      </c>
      <c r="M44" s="1">
        <f>M38+M41</f>
        <v>112</v>
      </c>
      <c r="Q44" s="1">
        <f>Q38+Q41</f>
        <v>105</v>
      </c>
    </row>
    <row r="45" spans="2:27" s="32" customFormat="1" x14ac:dyDescent="0.2">
      <c r="B45" s="1" t="s">
        <v>800</v>
      </c>
      <c r="M45" s="32">
        <f>M43+M44</f>
        <v>427</v>
      </c>
      <c r="Q45" s="32">
        <f>Q43+Q44</f>
        <v>440</v>
      </c>
    </row>
    <row r="46" spans="2:27" x14ac:dyDescent="0.2">
      <c r="Y46" s="1">
        <v>338</v>
      </c>
      <c r="Z46" s="1">
        <v>439</v>
      </c>
      <c r="AA46" s="1">
        <v>422</v>
      </c>
    </row>
    <row r="47" spans="2:27" x14ac:dyDescent="0.2">
      <c r="B47" s="27"/>
    </row>
    <row r="49" spans="2:27" x14ac:dyDescent="0.2">
      <c r="B49" s="27" t="s">
        <v>88</v>
      </c>
    </row>
    <row r="50" spans="2:27" s="2" customFormat="1" x14ac:dyDescent="0.2">
      <c r="B50" s="2" t="s">
        <v>6</v>
      </c>
      <c r="P50" s="21">
        <v>1009.139</v>
      </c>
      <c r="Q50" s="21">
        <v>1049.413</v>
      </c>
      <c r="AA50" s="21">
        <v>1669.453</v>
      </c>
    </row>
    <row r="51" spans="2:27" x14ac:dyDescent="0.2">
      <c r="B51" s="1" t="s">
        <v>89</v>
      </c>
      <c r="P51" s="22">
        <v>702.197</v>
      </c>
      <c r="Q51" s="22">
        <v>693.63599999999997</v>
      </c>
      <c r="AA51" s="22">
        <v>569.01400000000001</v>
      </c>
    </row>
    <row r="52" spans="2:27" s="2" customFormat="1" x14ac:dyDescent="0.2">
      <c r="B52" s="2" t="s">
        <v>90</v>
      </c>
      <c r="P52" s="21">
        <v>824.45500000000004</v>
      </c>
      <c r="Q52" s="21">
        <v>954.39400000000001</v>
      </c>
      <c r="AA52" s="21">
        <v>811.41</v>
      </c>
    </row>
    <row r="53" spans="2:27" x14ac:dyDescent="0.2">
      <c r="B53" s="1" t="s">
        <v>91</v>
      </c>
      <c r="P53" s="22">
        <v>297.03399999999999</v>
      </c>
      <c r="Q53" s="22">
        <v>302.66399999999999</v>
      </c>
      <c r="AA53" s="22">
        <v>286.42200000000003</v>
      </c>
    </row>
    <row r="54" spans="2:27" x14ac:dyDescent="0.2">
      <c r="B54" s="1" t="s">
        <v>92</v>
      </c>
      <c r="P54" s="22">
        <f>SUM(P50:P53)</f>
        <v>2832.8250000000003</v>
      </c>
      <c r="Q54" s="22">
        <f>SUM(Q50:Q53)</f>
        <v>3000.107</v>
      </c>
      <c r="AA54" s="22">
        <f>SUM(AA50:AA53)</f>
        <v>3336.299</v>
      </c>
    </row>
    <row r="55" spans="2:27" x14ac:dyDescent="0.2">
      <c r="B55" s="1" t="s">
        <v>93</v>
      </c>
      <c r="P55" s="22">
        <v>601.36500000000001</v>
      </c>
      <c r="Q55" s="22">
        <v>609.923</v>
      </c>
      <c r="AA55" s="22">
        <v>607.226</v>
      </c>
    </row>
    <row r="56" spans="2:27" x14ac:dyDescent="0.2">
      <c r="B56" s="1" t="s">
        <v>94</v>
      </c>
      <c r="P56" s="22">
        <v>420.39699999999999</v>
      </c>
      <c r="Q56" s="22">
        <v>408.75299999999999</v>
      </c>
      <c r="AA56" s="22">
        <v>448.36399999999998</v>
      </c>
    </row>
    <row r="57" spans="2:27" x14ac:dyDescent="0.2">
      <c r="B57" s="1" t="s">
        <v>95</v>
      </c>
      <c r="P57" s="22">
        <f>491.508+10.58</f>
        <v>502.08799999999997</v>
      </c>
      <c r="Q57" s="22">
        <f>479.521+9.91</f>
        <v>489.43100000000004</v>
      </c>
      <c r="AA57" s="22">
        <f>495.215+11.01</f>
        <v>506.22499999999997</v>
      </c>
    </row>
    <row r="58" spans="2:27" x14ac:dyDescent="0.2">
      <c r="B58" s="1" t="s">
        <v>96</v>
      </c>
      <c r="P58" s="22">
        <v>20.140999999999998</v>
      </c>
      <c r="Q58" s="22">
        <v>19.443999999999999</v>
      </c>
      <c r="AA58" s="22">
        <v>17.812000000000001</v>
      </c>
    </row>
    <row r="59" spans="2:27" x14ac:dyDescent="0.2">
      <c r="B59" s="1" t="s">
        <v>97</v>
      </c>
      <c r="P59" s="22">
        <v>76.016000000000005</v>
      </c>
      <c r="Q59" s="22">
        <v>78.162000000000006</v>
      </c>
      <c r="AA59" s="22">
        <v>75.47</v>
      </c>
    </row>
    <row r="60" spans="2:27" x14ac:dyDescent="0.2">
      <c r="B60" s="1" t="s">
        <v>98</v>
      </c>
      <c r="P60" s="22">
        <f>P54+P55+P56+P57+P58+P59</f>
        <v>4452.8319999999994</v>
      </c>
      <c r="Q60" s="22">
        <f>Q54+Q55+Q56+Q57+Q58+Q59</f>
        <v>4605.8200000000006</v>
      </c>
      <c r="AA60" s="22">
        <f>AA54+AA55+AA56+AA57+AA58+AA59</f>
        <v>4991.3960000000006</v>
      </c>
    </row>
    <row r="61" spans="2:27" x14ac:dyDescent="0.2">
      <c r="P61" s="22"/>
      <c r="AA61" s="22"/>
    </row>
    <row r="62" spans="2:27" x14ac:dyDescent="0.2">
      <c r="B62" s="1" t="s">
        <v>99</v>
      </c>
      <c r="P62" s="22">
        <v>560.33100000000002</v>
      </c>
      <c r="Q62" s="22">
        <v>669.20299999999997</v>
      </c>
      <c r="AA62" s="22">
        <v>613.30700000000002</v>
      </c>
    </row>
    <row r="63" spans="2:27" x14ac:dyDescent="0.2">
      <c r="B63" s="1" t="s">
        <v>100</v>
      </c>
      <c r="P63" s="22">
        <v>317.96300000000002</v>
      </c>
      <c r="Q63" s="22">
        <v>373.04500000000002</v>
      </c>
      <c r="AA63" s="22">
        <v>460.16500000000002</v>
      </c>
    </row>
    <row r="64" spans="2:27" x14ac:dyDescent="0.2">
      <c r="B64" s="1" t="s">
        <v>101</v>
      </c>
      <c r="P64" s="22">
        <v>159.62799999999999</v>
      </c>
      <c r="Q64" s="22">
        <v>157.48699999999999</v>
      </c>
      <c r="AA64" s="22">
        <v>164.29400000000001</v>
      </c>
    </row>
    <row r="65" spans="2:27" x14ac:dyDescent="0.2">
      <c r="B65" s="1" t="s">
        <v>102</v>
      </c>
      <c r="P65" s="22">
        <v>134.833</v>
      </c>
      <c r="Q65" s="22">
        <v>131.43799999999999</v>
      </c>
      <c r="AA65" s="22">
        <v>138.66399999999999</v>
      </c>
    </row>
    <row r="66" spans="2:27" x14ac:dyDescent="0.2">
      <c r="B66" s="1" t="s">
        <v>103</v>
      </c>
      <c r="P66" s="22">
        <v>125.84</v>
      </c>
      <c r="Q66" s="22">
        <v>127.50700000000001</v>
      </c>
      <c r="AA66" s="22">
        <v>73.745999999999995</v>
      </c>
    </row>
    <row r="67" spans="2:27" x14ac:dyDescent="0.2">
      <c r="B67" s="1" t="s">
        <v>104</v>
      </c>
      <c r="P67" s="22">
        <f>SUM(P62:P66)</f>
        <v>1298.595</v>
      </c>
      <c r="Q67" s="22">
        <f>SUM(Q62:Q66)</f>
        <v>1458.6800000000003</v>
      </c>
      <c r="AA67" s="22">
        <f>SUM(AA62:AA66)</f>
        <v>1450.1760000000002</v>
      </c>
    </row>
    <row r="68" spans="2:27" s="2" customFormat="1" x14ac:dyDescent="0.2">
      <c r="B68" s="2" t="s">
        <v>105</v>
      </c>
      <c r="P68" s="21">
        <v>672.28599999999994</v>
      </c>
      <c r="Q68" s="21">
        <v>672.83399999999995</v>
      </c>
      <c r="AA68" s="21">
        <v>662.53099999999995</v>
      </c>
    </row>
    <row r="69" spans="2:27" x14ac:dyDescent="0.2">
      <c r="B69" s="1" t="s">
        <v>102</v>
      </c>
      <c r="P69" s="22">
        <v>668.98299999999995</v>
      </c>
      <c r="Q69" s="22">
        <v>650.83299999999997</v>
      </c>
      <c r="AA69" s="22">
        <v>703.11099999999999</v>
      </c>
    </row>
    <row r="70" spans="2:27" x14ac:dyDescent="0.2">
      <c r="B70" s="1" t="s">
        <v>106</v>
      </c>
      <c r="P70" s="22">
        <v>84.013999999999996</v>
      </c>
      <c r="Q70" s="22">
        <v>94.378</v>
      </c>
      <c r="AA70" s="22">
        <v>86.584000000000003</v>
      </c>
    </row>
    <row r="71" spans="2:27" x14ac:dyDescent="0.2">
      <c r="B71" s="1" t="s">
        <v>107</v>
      </c>
      <c r="P71" s="22">
        <f>P67+P68+P69+P70</f>
        <v>2723.8779999999997</v>
      </c>
      <c r="Q71" s="22">
        <f>Q67+Q68+Q69+Q70</f>
        <v>2876.7250000000004</v>
      </c>
      <c r="AA71" s="22">
        <f>AA67+AA68+AA69+AA70</f>
        <v>2902.402</v>
      </c>
    </row>
    <row r="72" spans="2:27" x14ac:dyDescent="0.2">
      <c r="P72" s="22"/>
      <c r="AA72" s="22"/>
    </row>
    <row r="73" spans="2:27" x14ac:dyDescent="0.2">
      <c r="B73" s="1" t="s">
        <v>108</v>
      </c>
      <c r="P73" s="22">
        <v>1728.954</v>
      </c>
      <c r="Q73" s="22">
        <v>1729.075</v>
      </c>
      <c r="AA73" s="22">
        <v>2088.9940000000001</v>
      </c>
    </row>
    <row r="74" spans="2:27" x14ac:dyDescent="0.2">
      <c r="B74" s="1" t="s">
        <v>109</v>
      </c>
      <c r="P74" s="22">
        <f>P71+P73</f>
        <v>4452.8319999999994</v>
      </c>
      <c r="Q74" s="22">
        <f>Q71+Q73</f>
        <v>4605.8</v>
      </c>
      <c r="AA74" s="22">
        <f>AA71+AA73</f>
        <v>4991.3960000000006</v>
      </c>
    </row>
    <row r="76" spans="2:27" x14ac:dyDescent="0.2">
      <c r="B76" s="1" t="s">
        <v>777</v>
      </c>
      <c r="P76" s="22">
        <f>P60-P71</f>
        <v>1728.9539999999997</v>
      </c>
      <c r="Q76" s="22">
        <f>Q60-Q71</f>
        <v>1729.0950000000003</v>
      </c>
      <c r="AA76" s="22">
        <f>AA60-AA71</f>
        <v>2088.9940000000006</v>
      </c>
    </row>
    <row r="77" spans="2:27" x14ac:dyDescent="0.2">
      <c r="B77" s="1" t="s">
        <v>776</v>
      </c>
      <c r="P77" s="53">
        <f>P76/P22</f>
        <v>3.667505965954287</v>
      </c>
      <c r="Q77" s="53">
        <f>Q76/Q22</f>
        <v>3.7718988253002195</v>
      </c>
      <c r="AA77" s="53">
        <f>AA76/AA22</f>
        <v>4.4875962397745255</v>
      </c>
    </row>
    <row r="79" spans="2:27" s="58" customFormat="1" x14ac:dyDescent="0.2">
      <c r="B79" s="58" t="s">
        <v>790</v>
      </c>
    </row>
    <row r="80" spans="2:27" s="32" customFormat="1" x14ac:dyDescent="0.2">
      <c r="B80" s="32" t="s">
        <v>791</v>
      </c>
      <c r="Q80" s="66">
        <f>Q52/P52-1</f>
        <v>0.15760593361675279</v>
      </c>
    </row>
    <row r="82" spans="2:27" s="32" customFormat="1" x14ac:dyDescent="0.2">
      <c r="B82" s="32" t="s">
        <v>6</v>
      </c>
      <c r="P82" s="56">
        <f t="shared" ref="P82" si="20">P50</f>
        <v>1009.139</v>
      </c>
      <c r="Q82" s="56">
        <f>Q50</f>
        <v>1049.413</v>
      </c>
    </row>
    <row r="83" spans="2:27" s="32" customFormat="1" x14ac:dyDescent="0.2">
      <c r="B83" s="32" t="s">
        <v>7</v>
      </c>
      <c r="P83" s="56">
        <f t="shared" ref="P83" si="21">P68</f>
        <v>672.28599999999994</v>
      </c>
      <c r="Q83" s="56">
        <f>Q68</f>
        <v>672.83399999999995</v>
      </c>
    </row>
    <row r="84" spans="2:27" x14ac:dyDescent="0.2">
      <c r="B84" s="1" t="s">
        <v>8</v>
      </c>
      <c r="P84" s="22">
        <f t="shared" ref="P84" si="22">P82-P83</f>
        <v>336.85300000000007</v>
      </c>
      <c r="Q84" s="22">
        <f>Q82-Q83</f>
        <v>376.57900000000006</v>
      </c>
    </row>
    <row r="86" spans="2:27" x14ac:dyDescent="0.2">
      <c r="B86" s="1" t="s">
        <v>803</v>
      </c>
      <c r="H86" s="1">
        <v>8.41</v>
      </c>
      <c r="I86" s="1">
        <v>8.84</v>
      </c>
      <c r="J86" s="1">
        <v>9.84</v>
      </c>
      <c r="K86" s="1">
        <v>14.88</v>
      </c>
      <c r="L86" s="1">
        <v>18.46</v>
      </c>
      <c r="M86" s="1">
        <v>18.57</v>
      </c>
      <c r="N86" s="1">
        <v>17.52</v>
      </c>
      <c r="O86" s="1">
        <v>18.04</v>
      </c>
      <c r="P86" s="1">
        <v>16.079999999999998</v>
      </c>
      <c r="Q86" s="1">
        <v>7.58</v>
      </c>
      <c r="Y86" s="1">
        <v>19.18</v>
      </c>
      <c r="Z86" s="1">
        <f>K86</f>
        <v>14.88</v>
      </c>
      <c r="AA86" s="1">
        <f>O86</f>
        <v>18.04</v>
      </c>
    </row>
    <row r="87" spans="2:27" s="32" customFormat="1" x14ac:dyDescent="0.2">
      <c r="B87" s="32" t="s">
        <v>804</v>
      </c>
      <c r="H87" s="56">
        <f>H86*H22</f>
        <v>3808.6451099999999</v>
      </c>
      <c r="I87" s="56">
        <f t="shared" ref="I87:Q87" si="23">I86*I22</f>
        <v>4014.4296399999998</v>
      </c>
      <c r="J87" s="56">
        <f t="shared" si="23"/>
        <v>4493.6721600000001</v>
      </c>
      <c r="K87" s="56">
        <f t="shared" si="23"/>
        <v>6767.5876799999996</v>
      </c>
      <c r="L87" s="56">
        <f t="shared" si="23"/>
        <v>8418.0184399999998</v>
      </c>
      <c r="M87" s="56">
        <f t="shared" si="23"/>
        <v>8534.8462799999998</v>
      </c>
      <c r="N87" s="56">
        <f t="shared" si="23"/>
        <v>8234.4350400000003</v>
      </c>
      <c r="O87" s="56">
        <f t="shared" si="23"/>
        <v>8590.251119999999</v>
      </c>
      <c r="P87" s="56">
        <f t="shared" si="23"/>
        <v>7580.5139999999992</v>
      </c>
      <c r="Q87" s="56">
        <f t="shared" si="23"/>
        <v>3474.7857000000004</v>
      </c>
    </row>
    <row r="88" spans="2:27" s="56" customFormat="1" x14ac:dyDescent="0.2">
      <c r="B88" s="56" t="s">
        <v>9</v>
      </c>
      <c r="P88" s="56">
        <f t="shared" ref="P88" si="24">P87-P84</f>
        <v>7243.6609999999991</v>
      </c>
      <c r="Q88" s="56">
        <f>Q87-Q84</f>
        <v>3098.2067000000002</v>
      </c>
    </row>
    <row r="90" spans="2:27" x14ac:dyDescent="0.2">
      <c r="B90" s="1" t="s">
        <v>778</v>
      </c>
      <c r="P90" s="70">
        <f t="shared" ref="P90:Q90" si="25">P86/P77</f>
        <v>4.3844509454849581</v>
      </c>
      <c r="Q90" s="70">
        <f>Q86/Q77</f>
        <v>2.0095979110459519</v>
      </c>
      <c r="AA90" s="70">
        <f>AA86/AA77</f>
        <v>4.0199694972795506</v>
      </c>
    </row>
    <row r="91" spans="2:27" x14ac:dyDescent="0.2">
      <c r="B91" s="1" t="s">
        <v>809</v>
      </c>
    </row>
    <row r="92" spans="2:27" x14ac:dyDescent="0.2">
      <c r="B92" s="1" t="s">
        <v>58</v>
      </c>
      <c r="Y92" s="70">
        <f t="shared" ref="Y92:Z92" si="26">Y86/Y21</f>
        <v>93.871302120640664</v>
      </c>
      <c r="Z92" s="70">
        <f t="shared" si="26"/>
        <v>-12.303582123796154</v>
      </c>
      <c r="AA92" s="70">
        <f>AA86/AA21</f>
        <v>23.323035494084294</v>
      </c>
    </row>
    <row r="94" spans="2:27" x14ac:dyDescent="0.2">
      <c r="B94" s="1" t="s">
        <v>806</v>
      </c>
      <c r="P94" s="25">
        <f t="shared" ref="P94" si="27">P52/P9</f>
        <v>0.63373547690332799</v>
      </c>
      <c r="Q94" s="25">
        <f>Q52/Q9</f>
        <v>0.70745268732158828</v>
      </c>
      <c r="AA94" s="25">
        <f>AA52/AA9</f>
        <v>0.14276675535667846</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s>
  <pageMargins left="0.7" right="0.7" top="0.75" bottom="0.75" header="0.3" footer="0.3"/>
  <pageSetup paperSize="256" orientation="portrait" horizontalDpi="203" verticalDpi="203" r:id="rId9"/>
  <ignoredErrors>
    <ignoredError sqref="Z6:AA6 L6:Q6 H6:K6" formulaRange="1"/>
  </ignoredErrors>
  <drawing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election activeCell="C45" sqref="C45"/>
    </sheetView>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2022-10-05T22:38:23Z</dcterms:modified>
</cp:coreProperties>
</file>