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608807C-04C5-409F-AE2B-0679614CEF51}" xr6:coauthVersionLast="36" xr6:coauthVersionMax="47" xr10:uidLastSave="{00000000-0000-0000-0000-000000000000}"/>
  <bookViews>
    <workbookView xWindow="0" yWindow="495" windowWidth="32295" windowHeight="18855" firstSheet="1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8" i="1" l="1"/>
  <c r="P3" i="1" l="1"/>
  <c r="AD8" i="1"/>
  <c r="AE3" i="1"/>
  <c r="Z3" i="1" l="1"/>
  <c r="Y3" i="1"/>
  <c r="X3" i="1"/>
  <c r="W3" i="1"/>
  <c r="AD3" i="1"/>
  <c r="AC3" i="1"/>
  <c r="K3" i="1"/>
  <c r="K13" i="1" l="1"/>
  <c r="AE13" i="1"/>
  <c r="AD13" i="1"/>
  <c r="AC13" i="1"/>
  <c r="Z13" i="1"/>
  <c r="Y13" i="1"/>
  <c r="X13" i="1"/>
  <c r="W13" i="1"/>
  <c r="F3" i="1" l="1"/>
  <c r="P6" i="1" l="1"/>
  <c r="O6" i="1"/>
  <c r="N6" i="1"/>
  <c r="V6" i="1"/>
  <c r="U6" i="1"/>
  <c r="T6" i="1"/>
  <c r="K6" i="1" l="1"/>
  <c r="Z6" i="1"/>
  <c r="Y6" i="1"/>
  <c r="X6" i="1"/>
  <c r="W6" i="1"/>
  <c r="AE6" i="1"/>
  <c r="AC6" i="1"/>
  <c r="AE5" i="1" l="1"/>
  <c r="AE14" i="1" l="1"/>
  <c r="AE11" i="1" l="1"/>
  <c r="G15" i="1" l="1"/>
  <c r="G14" i="1"/>
  <c r="G13" i="1"/>
  <c r="G12" i="1"/>
  <c r="AB4" i="1"/>
  <c r="AB3" i="1"/>
  <c r="AB10" i="1"/>
  <c r="V13" i="1" l="1"/>
  <c r="U13" i="1"/>
  <c r="P13" i="1"/>
  <c r="J13" i="1" l="1"/>
  <c r="S13" i="1" l="1"/>
  <c r="AF13" i="1"/>
  <c r="AF11" i="1"/>
  <c r="AB13" i="1"/>
  <c r="T13" i="1"/>
  <c r="O13" i="1"/>
  <c r="N13" i="1"/>
  <c r="AG13" i="1" l="1"/>
  <c r="AH13" i="1"/>
  <c r="F13" i="1"/>
  <c r="H13" i="1"/>
  <c r="V11" i="1" l="1"/>
  <c r="U11" i="1"/>
  <c r="I13" i="1" l="1"/>
  <c r="F12" i="1"/>
  <c r="AC11" i="1" l="1"/>
  <c r="Z11" i="1"/>
  <c r="Y11" i="1"/>
  <c r="X11" i="1"/>
  <c r="W11" i="1"/>
  <c r="P11" i="1"/>
  <c r="J11" i="1" l="1"/>
  <c r="T11" i="1" l="1"/>
  <c r="O11" i="1"/>
  <c r="AG11" i="1" l="1"/>
  <c r="AH11" i="1"/>
  <c r="F11" i="1"/>
  <c r="G6" i="1" l="1"/>
  <c r="I3" i="1" l="1"/>
  <c r="H3" i="1"/>
  <c r="G3" i="1"/>
  <c r="G9" i="1"/>
  <c r="F9" i="1"/>
  <c r="N11" i="1" l="1"/>
  <c r="P15" i="1"/>
  <c r="O15" i="1"/>
  <c r="O12" i="1"/>
  <c r="P12" i="1"/>
  <c r="P5" i="1"/>
  <c r="P8" i="1"/>
  <c r="O8" i="1"/>
  <c r="N8" i="1"/>
  <c r="O5" i="1"/>
  <c r="O4" i="1"/>
  <c r="P4" i="1"/>
  <c r="O3" i="1" l="1"/>
  <c r="N3" i="1"/>
  <c r="R3" i="1"/>
  <c r="V3" i="1" l="1"/>
  <c r="U3" i="1"/>
  <c r="Q3" i="1"/>
  <c r="T3" i="1"/>
  <c r="L3" i="1"/>
  <c r="S3" i="1" l="1"/>
  <c r="J3" i="1" l="1"/>
  <c r="AG3" i="1"/>
  <c r="AH3" i="1"/>
  <c r="Z8" i="1" l="1"/>
  <c r="Y8" i="1"/>
  <c r="X8" i="1"/>
  <c r="W8" i="1"/>
  <c r="T14" i="1"/>
  <c r="Z14" i="1" l="1"/>
  <c r="Y14" i="1"/>
  <c r="X14" i="1"/>
  <c r="W14" i="1"/>
  <c r="AB7" i="1"/>
  <c r="AC14" i="1"/>
  <c r="J14" i="1" l="1"/>
  <c r="AF7" i="1"/>
  <c r="AH7" i="1"/>
  <c r="AG7" i="1"/>
  <c r="I7" i="1" l="1"/>
  <c r="H7" i="1"/>
  <c r="G7" i="1"/>
  <c r="F7" i="1"/>
  <c r="AC4" i="1"/>
  <c r="X4" i="1" l="1"/>
  <c r="W4" i="1"/>
  <c r="Z4" i="1" l="1"/>
  <c r="AH14" i="1"/>
  <c r="AG14" i="1"/>
  <c r="AF14" i="1"/>
  <c r="AB14" i="1"/>
  <c r="Y4" i="1" l="1"/>
  <c r="N15" i="1"/>
  <c r="N12" i="1"/>
  <c r="N10" i="1" l="1"/>
  <c r="N5" i="1" l="1"/>
  <c r="N4" i="1" l="1"/>
  <c r="I14" i="1" l="1"/>
  <c r="H14" i="1"/>
  <c r="F14" i="1"/>
  <c r="T10" i="1"/>
  <c r="Q10" i="1" l="1"/>
  <c r="S10" i="1"/>
  <c r="AC10" i="1" l="1"/>
  <c r="AH10" i="1" l="1"/>
  <c r="AF10" i="1"/>
  <c r="AG10" i="1"/>
  <c r="Z10" i="1"/>
  <c r="Y10" i="1"/>
  <c r="X10" i="1"/>
  <c r="W10" i="1"/>
  <c r="J10" i="1"/>
  <c r="F10" i="1" l="1"/>
  <c r="L4" i="1" l="1"/>
  <c r="Q4" i="1"/>
  <c r="T4" i="1"/>
  <c r="S4" i="1"/>
  <c r="AF4" i="1" l="1"/>
  <c r="AH4" i="1"/>
  <c r="AG4" i="1"/>
  <c r="J4" i="1"/>
  <c r="I4" i="1"/>
  <c r="H4" i="1"/>
  <c r="G4" i="1"/>
  <c r="F4" i="1"/>
  <c r="AF5" i="1" l="1"/>
  <c r="AH5" i="1"/>
  <c r="AG5" i="1"/>
  <c r="AH15" i="1" l="1"/>
  <c r="AG15" i="1"/>
  <c r="AH8" i="1" l="1"/>
  <c r="AG8" i="1"/>
  <c r="AH6" i="1" l="1"/>
  <c r="AG6" i="1"/>
  <c r="AF6" i="1"/>
  <c r="AG12" i="1" l="1"/>
  <c r="AH12" i="1"/>
  <c r="V15" i="1" l="1"/>
  <c r="U15" i="1"/>
  <c r="T15" i="1"/>
  <c r="V12" i="1" l="1"/>
  <c r="V8" i="1"/>
  <c r="U8" i="1"/>
  <c r="T8" i="1"/>
  <c r="V5" i="1"/>
  <c r="U5" i="1"/>
  <c r="T5" i="1"/>
  <c r="AC5" i="1" l="1"/>
  <c r="AC15" i="1" l="1"/>
  <c r="AC12" i="1" l="1"/>
  <c r="AF8" i="1" l="1"/>
  <c r="AF15" i="1" l="1"/>
  <c r="AF12" i="1"/>
  <c r="U12" i="1" l="1"/>
  <c r="T12" i="1"/>
  <c r="H12" i="1" l="1"/>
  <c r="AB12" i="1"/>
  <c r="L12" i="1"/>
  <c r="S12" i="1" l="1"/>
  <c r="Y12" i="1"/>
  <c r="W12" i="1"/>
  <c r="X12" i="1"/>
  <c r="Z12" i="1"/>
  <c r="Q12" i="1" l="1"/>
  <c r="R12" i="1" l="1"/>
  <c r="AB5" i="1" l="1"/>
  <c r="AB6" i="1" l="1"/>
  <c r="AB15" i="1"/>
  <c r="J12" i="1"/>
  <c r="I6" i="1"/>
  <c r="H6" i="1"/>
  <c r="R5" i="1" l="1"/>
  <c r="Z15" i="1"/>
  <c r="M12" i="1" l="1"/>
  <c r="I12" i="1"/>
  <c r="Y5" i="1"/>
  <c r="S5" i="1" l="1"/>
  <c r="Z5" i="1"/>
  <c r="W5" i="1"/>
  <c r="Q5" i="1"/>
  <c r="X5" i="1"/>
  <c r="L5" i="1"/>
  <c r="J5" i="1" l="1"/>
  <c r="H5" i="1"/>
  <c r="F5" i="1"/>
  <c r="I5" i="1" l="1"/>
  <c r="G5" i="1"/>
  <c r="R6" i="1" l="1"/>
  <c r="S6" i="1" l="1"/>
  <c r="S15" i="1" l="1"/>
  <c r="R15" i="1"/>
  <c r="Y15" i="1" l="1"/>
  <c r="X15" i="1"/>
  <c r="W15" i="1"/>
  <c r="J8" i="1" l="1"/>
  <c r="F8" i="1"/>
  <c r="Q15" i="1" l="1"/>
  <c r="Q6" i="1"/>
  <c r="L6" i="1"/>
  <c r="L15" i="1"/>
  <c r="J6" i="1" l="1"/>
  <c r="F6" i="1"/>
  <c r="F29" i="1"/>
  <c r="F28" i="1"/>
  <c r="O10" i="1" s="1"/>
  <c r="J15" i="1"/>
  <c r="F15" i="1"/>
  <c r="H15" i="1" l="1"/>
  <c r="I15" i="1" l="1"/>
  <c r="Q8" i="1" l="1"/>
  <c r="G8" i="1" l="1"/>
  <c r="G10" i="1" l="1"/>
  <c r="H10" i="1"/>
  <c r="I10" i="1" l="1"/>
  <c r="L10" i="1"/>
  <c r="AB8" i="1"/>
  <c r="S8" i="1" l="1"/>
  <c r="H8" i="1" l="1"/>
  <c r="L8" i="1" l="1"/>
  <c r="I8" i="1"/>
  <c r="R8" i="1" l="1"/>
  <c r="AB11" i="1" l="1"/>
  <c r="S11" i="1" l="1"/>
  <c r="H11" i="1" l="1"/>
  <c r="G11" i="1" l="1"/>
  <c r="I11" i="1"/>
</calcChain>
</file>

<file path=xl/sharedStrings.xml><?xml version="1.0" encoding="utf-8"?>
<sst xmlns="http://schemas.openxmlformats.org/spreadsheetml/2006/main" count="841" uniqueCount="535">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</sst>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;[Red]\-&quot;£&quot;#,##0.00"/>
    <numFmt numFmtId="164" formatCode="[$€-2]\ #,##0.00;[Red]\-[$€-2]\ #,##0.00"/>
    <numFmt numFmtId="165" formatCode="#,##0.0"/>
    <numFmt numFmtId="166" formatCode="0\x"/>
    <numFmt numFmtId="167" formatCode="0.0\x"/>
    <numFmt numFmtId="168" formatCode="0.#\x"/>
    <numFmt numFmtId="169" formatCode="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8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8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 applyAlignment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 applyAlignment="1"/>
    <xf numFmtId="2" fontId="1" fillId="7" borderId="1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69" fontId="1" fillId="0" borderId="0" xfId="0" applyNumberFormat="1" applyFont="1"/>
    <xf numFmtId="165" fontId="1" fillId="0" borderId="0" xfId="0" applyNumberFormat="1" applyFont="1"/>
    <xf numFmtId="3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right"/>
    </xf>
    <xf numFmtId="0" fontId="1" fillId="10" borderId="0" xfId="0" applyFont="1" applyFill="1"/>
    <xf numFmtId="0" fontId="0" fillId="11" borderId="0" xfId="0" applyFill="1"/>
    <xf numFmtId="0" fontId="3" fillId="11" borderId="2" xfId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0" fontId="6" fillId="11" borderId="2" xfId="0" applyFont="1" applyFill="1" applyBorder="1" applyAlignment="1">
      <alignment horizontal="center" vertical="top"/>
    </xf>
    <xf numFmtId="0" fontId="6" fillId="11" borderId="2" xfId="0" applyFont="1" applyFill="1" applyBorder="1" applyAlignment="1">
      <alignment horizontal="left" vertical="top"/>
    </xf>
    <xf numFmtId="0" fontId="8" fillId="11" borderId="2" xfId="0" applyFont="1" applyFill="1" applyBorder="1" applyAlignment="1">
      <alignment horizontal="right" vertical="top"/>
    </xf>
    <xf numFmtId="0" fontId="7" fillId="11" borderId="2" xfId="0" applyFont="1" applyFill="1" applyBorder="1" applyAlignment="1">
      <alignment horizontal="right" vertical="top"/>
    </xf>
    <xf numFmtId="0" fontId="9" fillId="11" borderId="2" xfId="0" applyFont="1" applyFill="1" applyBorder="1" applyAlignment="1">
      <alignment horizontal="right" vertical="top"/>
    </xf>
    <xf numFmtId="10" fontId="8" fillId="11" borderId="2" xfId="0" applyNumberFormat="1" applyFont="1" applyFill="1" applyBorder="1" applyAlignment="1">
      <alignment horizontal="right" vertical="top"/>
    </xf>
    <xf numFmtId="15" fontId="8" fillId="11" borderId="2" xfId="0" applyNumberFormat="1" applyFont="1" applyFill="1" applyBorder="1" applyAlignment="1">
      <alignment horizontal="right" vertical="top"/>
    </xf>
    <xf numFmtId="0" fontId="6" fillId="11" borderId="2" xfId="0" applyFont="1" applyFill="1" applyBorder="1" applyAlignment="1">
      <alignment horizontal="right" vertical="top"/>
    </xf>
    <xf numFmtId="15" fontId="7" fillId="11" borderId="2" xfId="0" applyNumberFormat="1" applyFont="1" applyFill="1" applyBorder="1" applyAlignment="1">
      <alignment horizontal="right" vertical="top"/>
    </xf>
    <xf numFmtId="8" fontId="9" fillId="11" borderId="2" xfId="0" applyNumberFormat="1" applyFont="1" applyFill="1" applyBorder="1" applyAlignment="1">
      <alignment horizontal="right" vertical="top"/>
    </xf>
    <xf numFmtId="0" fontId="3" fillId="11" borderId="0" xfId="1" applyFill="1" applyAlignment="1">
      <alignment vertical="top"/>
    </xf>
    <xf numFmtId="0" fontId="6" fillId="11" borderId="0" xfId="0" applyFont="1" applyFill="1" applyAlignment="1">
      <alignment vertical="top"/>
    </xf>
    <xf numFmtId="0" fontId="6" fillId="11" borderId="0" xfId="0" applyFont="1" applyFill="1" applyAlignment="1">
      <alignment horizontal="center" vertical="top"/>
    </xf>
    <xf numFmtId="0" fontId="6" fillId="11" borderId="0" xfId="0" applyFont="1" applyFill="1" applyAlignment="1">
      <alignment horizontal="left" vertical="top"/>
    </xf>
    <xf numFmtId="0" fontId="9" fillId="11" borderId="0" xfId="0" applyFont="1" applyFill="1" applyAlignment="1">
      <alignment horizontal="right" vertical="top"/>
    </xf>
    <xf numFmtId="8" fontId="9" fillId="11" borderId="0" xfId="0" applyNumberFormat="1" applyFont="1" applyFill="1" applyAlignment="1">
      <alignment horizontal="right" vertical="top"/>
    </xf>
    <xf numFmtId="0" fontId="6" fillId="11" borderId="0" xfId="0" applyFont="1" applyFill="1" applyAlignment="1">
      <alignment horizontal="right" vertical="top"/>
    </xf>
    <xf numFmtId="0" fontId="7" fillId="11" borderId="0" xfId="0" applyFont="1" applyFill="1" applyAlignment="1">
      <alignment horizontal="right" vertical="top"/>
    </xf>
    <xf numFmtId="10" fontId="7" fillId="11" borderId="0" xfId="0" applyNumberFormat="1" applyFont="1" applyFill="1" applyAlignment="1">
      <alignment horizontal="right" vertical="top"/>
    </xf>
    <xf numFmtId="10" fontId="8" fillId="11" borderId="0" xfId="0" applyNumberFormat="1" applyFont="1" applyFill="1" applyAlignment="1">
      <alignment horizontal="right" vertical="top"/>
    </xf>
    <xf numFmtId="0" fontId="8" fillId="11" borderId="0" xfId="0" applyFont="1" applyFill="1" applyAlignment="1">
      <alignment horizontal="right" vertical="top"/>
    </xf>
    <xf numFmtId="15" fontId="7" fillId="11" borderId="0" xfId="0" applyNumberFormat="1" applyFont="1" applyFill="1" applyAlignment="1">
      <alignment horizontal="right" vertical="top"/>
    </xf>
    <xf numFmtId="165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95.33</v>
          </cell>
        </row>
        <row r="8">
          <cell r="C8">
            <v>149391.64299999998</v>
          </cell>
        </row>
        <row r="11">
          <cell r="C11">
            <v>2445</v>
          </cell>
        </row>
        <row r="12">
          <cell r="C12">
            <v>146946.64299999998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24.304770592127053</v>
          </cell>
        </row>
        <row r="34">
          <cell r="C34">
            <v>24.880641209063874</v>
          </cell>
        </row>
        <row r="36">
          <cell r="C36">
            <v>9.4420201618000252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15.88</v>
          </cell>
        </row>
        <row r="8">
          <cell r="C8">
            <v>801.09616856000014</v>
          </cell>
        </row>
        <row r="11">
          <cell r="C11">
            <v>164.5</v>
          </cell>
        </row>
        <row r="12">
          <cell r="C12">
            <v>636.59616856000014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728</v>
          </cell>
        </row>
        <row r="27">
          <cell r="C27" t="str">
            <v>Q122</v>
          </cell>
        </row>
        <row r="32">
          <cell r="C32">
            <v>-0.96423583702713767</v>
          </cell>
        </row>
        <row r="33">
          <cell r="C33">
            <v>-50.21450968486225</v>
          </cell>
        </row>
        <row r="35">
          <cell r="C35">
            <v>1.1733497350330941</v>
          </cell>
        </row>
        <row r="37">
          <cell r="C37">
            <v>3.5983436371240685</v>
          </cell>
        </row>
        <row r="38">
          <cell r="C38">
            <v>2.420425719782521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O27">
            <v>0.55310902822720542</v>
          </cell>
        </row>
        <row r="28">
          <cell r="O28">
            <v>-1.1966602769322474E-2</v>
          </cell>
        </row>
        <row r="30">
          <cell r="O30">
            <v>-2.0263004421958795E-2</v>
          </cell>
        </row>
        <row r="31">
          <cell r="O31">
            <v>0.12839781600422653</v>
          </cell>
        </row>
        <row r="41">
          <cell r="O41">
            <v>562.51</v>
          </cell>
        </row>
        <row r="69">
          <cell r="X69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0.38490000000000002</v>
          </cell>
        </row>
        <row r="8">
          <cell r="C8">
            <v>477.16053000000005</v>
          </cell>
        </row>
        <row r="11">
          <cell r="C11">
            <v>-36.599999999999966</v>
          </cell>
        </row>
        <row r="12">
          <cell r="C12">
            <v>513.76053000000002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5">
          <cell r="C35">
            <v>1.1237883419689116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5">
          <cell r="M75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</sheetData>
      <sheetData sheetId="1"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1.022</v>
          </cell>
        </row>
        <row r="8">
          <cell r="C8">
            <v>83.94708</v>
          </cell>
        </row>
        <row r="11">
          <cell r="C11">
            <v>-2.1999999999999957</v>
          </cell>
        </row>
        <row r="12">
          <cell r="C12">
            <v>86.147079999999988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226</v>
          </cell>
        </row>
        <row r="27">
          <cell r="C27">
            <v>159.4</v>
          </cell>
        </row>
        <row r="29">
          <cell r="C29" t="str">
            <v>H122</v>
          </cell>
        </row>
        <row r="34">
          <cell r="C34">
            <v>34.458832000000143</v>
          </cell>
        </row>
        <row r="35">
          <cell r="C35">
            <v>-4.6059933708871261</v>
          </cell>
        </row>
        <row r="37">
          <cell r="C37">
            <v>0.91152134454347877</v>
          </cell>
        </row>
        <row r="39">
          <cell r="C39">
            <v>-2.3222384525207773</v>
          </cell>
        </row>
      </sheetData>
      <sheetData sheetId="1">
        <row r="17">
          <cell r="Q17">
            <v>-98.499999999999972</v>
          </cell>
          <cell r="R17">
            <v>-143.40000000000003</v>
          </cell>
          <cell r="S17">
            <v>-36.099999999999973</v>
          </cell>
        </row>
        <row r="21">
          <cell r="Q21">
            <v>-3.4403669724769603E-4</v>
          </cell>
          <cell r="R21">
            <v>-0.19192382700470356</v>
          </cell>
          <cell r="S21">
            <v>-0.21053378762066999</v>
          </cell>
        </row>
        <row r="33">
          <cell r="J33">
            <v>0.5523088023088023</v>
          </cell>
        </row>
        <row r="34">
          <cell r="J34">
            <v>2.7056277056277018E-2</v>
          </cell>
        </row>
        <row r="35">
          <cell r="J35">
            <v>9.0187590187589799E-3</v>
          </cell>
        </row>
        <row r="36">
          <cell r="J36">
            <v>0.375000000000001</v>
          </cell>
        </row>
        <row r="79">
          <cell r="J79">
            <v>-4.2642642642642614E-2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35.78</v>
          </cell>
        </row>
        <row r="8">
          <cell r="C8">
            <v>13914.901645259999</v>
          </cell>
        </row>
        <row r="11">
          <cell r="C11">
            <v>-4768.8999999999996</v>
          </cell>
        </row>
        <row r="12">
          <cell r="C12">
            <v>18683.801645259999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</row>
        <row r="33">
          <cell r="C33">
            <v>13.471618843205112</v>
          </cell>
        </row>
        <row r="34">
          <cell r="C34">
            <v>10.068932086717085</v>
          </cell>
        </row>
        <row r="36">
          <cell r="C36">
            <v>4.1363260534772177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52.36</v>
          </cell>
        </row>
        <row r="8">
          <cell r="C8">
            <v>6951.8895599999996</v>
          </cell>
        </row>
        <row r="11">
          <cell r="C11">
            <v>-615.79999999999995</v>
          </cell>
        </row>
        <row r="12">
          <cell r="C12">
            <v>7567.6895599999998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11.170021490774916</v>
          </cell>
        </row>
        <row r="34">
          <cell r="C34">
            <v>9.8614553505535145</v>
          </cell>
        </row>
        <row r="36">
          <cell r="C36">
            <v>6.6149861386138609</v>
          </cell>
        </row>
        <row r="38">
          <cell r="C38">
            <v>23.595786536449214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1.022</v>
          </cell>
        </row>
        <row r="8">
          <cell r="C8">
            <v>5273.52</v>
          </cell>
        </row>
        <row r="11">
          <cell r="C11">
            <v>1013.1000000000001</v>
          </cell>
        </row>
        <row r="12">
          <cell r="C12">
            <v>4260.42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19.696809986130337</v>
          </cell>
        </row>
        <row r="34">
          <cell r="C34">
            <v>13.208756530668998</v>
          </cell>
        </row>
        <row r="36">
          <cell r="C36">
            <v>1.9809164028971902</v>
          </cell>
        </row>
        <row r="38">
          <cell r="C38">
            <v>21.698173855148315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7.25</v>
          </cell>
        </row>
        <row r="8">
          <cell r="C8">
            <v>3461.73</v>
          </cell>
        </row>
        <row r="11">
          <cell r="C11">
            <v>0</v>
          </cell>
        </row>
        <row r="12">
          <cell r="C12">
            <v>3461.73</v>
          </cell>
        </row>
        <row r="23">
          <cell r="C23" t="str">
            <v>Mansfiled, UK</v>
          </cell>
        </row>
        <row r="24">
          <cell r="C24">
            <v>1982</v>
          </cell>
        </row>
        <row r="25">
          <cell r="C25"/>
        </row>
        <row r="26">
          <cell r="C26"/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6.69</v>
          </cell>
        </row>
        <row r="8">
          <cell r="C8">
            <v>3066.6959999999999</v>
          </cell>
        </row>
        <row r="11">
          <cell r="C11">
            <v>376.57900000000006</v>
          </cell>
        </row>
        <row r="12">
          <cell r="C12">
            <v>2690.1169999999997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422</v>
          </cell>
        </row>
        <row r="27">
          <cell r="C27">
            <v>954.39400000000001</v>
          </cell>
        </row>
        <row r="29">
          <cell r="C29" t="str">
            <v>FQ123</v>
          </cell>
        </row>
        <row r="34">
          <cell r="C34">
            <v>15.715778773521555</v>
          </cell>
        </row>
        <row r="35">
          <cell r="C35">
            <v>18.4823862349457</v>
          </cell>
        </row>
        <row r="37">
          <cell r="C37">
            <v>1.7736424834957014</v>
          </cell>
        </row>
        <row r="41">
          <cell r="C41">
            <v>8.6491744709215048</v>
          </cell>
        </row>
      </sheetData>
      <sheetData sheetId="1">
        <row r="20">
          <cell r="Y20">
            <v>92.141999999999229</v>
          </cell>
          <cell r="Z20">
            <v>-549.17700000000002</v>
          </cell>
          <cell r="AA20">
            <v>360.0600000000004</v>
          </cell>
        </row>
        <row r="24">
          <cell r="Y24" t="str">
            <v>-</v>
          </cell>
          <cell r="Z24">
            <v>-0.15045474463142361</v>
          </cell>
          <cell r="AA24">
            <v>0.27014278380938728</v>
          </cell>
        </row>
        <row r="30">
          <cell r="Q30">
            <v>0.46713889776340067</v>
          </cell>
        </row>
        <row r="31">
          <cell r="Q31">
            <v>2.5560817667452114E-2</v>
          </cell>
        </row>
        <row r="32">
          <cell r="Q32">
            <v>5.6943479778837729E-3</v>
          </cell>
        </row>
        <row r="33">
          <cell r="Q33">
            <v>0.39734494626677114</v>
          </cell>
        </row>
        <row r="80">
          <cell r="Q80">
            <v>0.15760593361675279</v>
          </cell>
        </row>
        <row r="94">
          <cell r="AA94">
            <v>0.14276675535667846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21</v>
          </cell>
        </row>
        <row r="8">
          <cell r="C8">
            <v>1945.86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10.24</v>
          </cell>
        </row>
        <row r="8">
          <cell r="C8">
            <v>1725.0304000000001</v>
          </cell>
        </row>
        <row r="11">
          <cell r="C11">
            <v>-177</v>
          </cell>
        </row>
        <row r="12">
          <cell r="C12">
            <v>1902.0304000000001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1141</v>
          </cell>
        </row>
        <row r="26">
          <cell r="C26">
            <v>682.1</v>
          </cell>
        </row>
        <row r="28">
          <cell r="C28" t="str">
            <v>Q122</v>
          </cell>
        </row>
        <row r="33">
          <cell r="C33">
            <v>59.925343415248761</v>
          </cell>
        </row>
        <row r="34">
          <cell r="C34">
            <v>4.0901579978361697</v>
          </cell>
        </row>
        <row r="36">
          <cell r="C36">
            <v>1.2473050731522497</v>
          </cell>
        </row>
      </sheetData>
      <sheetData sheetId="1">
        <row r="16">
          <cell r="Y16">
            <v>-209.33700000000022</v>
          </cell>
          <cell r="Z16">
            <v>419.62599999999986</v>
          </cell>
        </row>
        <row r="20">
          <cell r="Z20">
            <v>0.33299379683036578</v>
          </cell>
        </row>
        <row r="23">
          <cell r="O23">
            <v>0.36778425780328089</v>
          </cell>
        </row>
        <row r="24">
          <cell r="O24">
            <v>3.9716142656608319E-2</v>
          </cell>
        </row>
        <row r="25">
          <cell r="O25">
            <v>3.0084252969327211E-2</v>
          </cell>
        </row>
        <row r="26">
          <cell r="O26">
            <v>0.23990612577230669</v>
          </cell>
        </row>
        <row r="71">
          <cell r="O71">
            <v>0.4615447248541884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6.01</v>
          </cell>
        </row>
        <row r="8">
          <cell r="C8">
            <v>600.63939999999991</v>
          </cell>
        </row>
        <row r="11">
          <cell r="C11">
            <v>-15.399999999999977</v>
          </cell>
        </row>
        <row r="12">
          <cell r="C12">
            <v>616.03939999999989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986.4</v>
          </cell>
        </row>
        <row r="28">
          <cell r="C28" t="str">
            <v>H122</v>
          </cell>
        </row>
        <row r="36">
          <cell r="C36">
            <v>0.57205092846638639</v>
          </cell>
        </row>
      </sheetData>
      <sheetData sheetId="1">
        <row r="13">
          <cell r="Q13">
            <v>24.599999999999909</v>
          </cell>
          <cell r="R13">
            <v>113.30000000000014</v>
          </cell>
          <cell r="S13">
            <v>128.40000000000015</v>
          </cell>
        </row>
        <row r="17">
          <cell r="Q17">
            <v>0.13080709882927222</v>
          </cell>
          <cell r="R17">
            <v>0.19389061642582761</v>
          </cell>
          <cell r="S17">
            <v>0.19825340891680709</v>
          </cell>
        </row>
        <row r="20">
          <cell r="K20">
            <v>0.43071703008831885</v>
          </cell>
        </row>
        <row r="21">
          <cell r="K21">
            <v>-2.1954992265856019E-3</v>
          </cell>
        </row>
        <row r="22">
          <cell r="K22">
            <v>-6.7361908088419773E-3</v>
          </cell>
        </row>
        <row r="23">
          <cell r="K23">
            <v>0.14556962025316267</v>
          </cell>
        </row>
        <row r="71">
          <cell r="S71">
            <v>0.20639304436772793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2" Type="http://schemas.openxmlformats.org/officeDocument/2006/relationships/hyperlink" Target="&#163;JD..xlsx" TargetMode="External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topLeftCell="A6" workbookViewId="0">
      <selection activeCell="C17" sqref="C17"/>
    </sheetView>
  </sheetViews>
  <sheetFormatPr defaultColWidth="8.85546875" defaultRowHeight="15" x14ac:dyDescent="0.25"/>
  <cols>
    <col min="1" max="1" width="6.42578125" bestFit="1" customWidth="1"/>
    <col min="2" max="2" width="31" bestFit="1" customWidth="1"/>
    <col min="3" max="3" width="10" bestFit="1" customWidth="1"/>
    <col min="4" max="4" width="33.42578125" bestFit="1" customWidth="1"/>
    <col min="5" max="5" width="10.7109375" bestFit="1" customWidth="1"/>
    <col min="6" max="6" width="14.14062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2.2851562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60" customFormat="1" ht="15.75" thickBot="1" x14ac:dyDescent="0.3">
      <c r="A2" s="61" t="s">
        <v>241</v>
      </c>
      <c r="B2" s="62" t="s">
        <v>242</v>
      </c>
      <c r="C2" s="63" t="s">
        <v>31</v>
      </c>
      <c r="D2" s="64" t="s">
        <v>243</v>
      </c>
      <c r="E2" s="65" t="s">
        <v>244</v>
      </c>
      <c r="F2" s="65" t="s">
        <v>245</v>
      </c>
      <c r="G2" s="66">
        <v>12.8</v>
      </c>
      <c r="H2" s="66">
        <v>11.67</v>
      </c>
      <c r="I2" s="67">
        <v>2.78</v>
      </c>
      <c r="J2" s="65" t="s">
        <v>246</v>
      </c>
      <c r="K2" s="68">
        <v>0.87970000000000004</v>
      </c>
      <c r="L2" s="69">
        <v>44770</v>
      </c>
      <c r="M2" s="70" t="s">
        <v>247</v>
      </c>
      <c r="N2" s="68">
        <v>1.21E-2</v>
      </c>
    </row>
    <row r="3" spans="1:14" ht="15.75" thickBot="1" x14ac:dyDescent="0.3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5.75" thickBot="1" x14ac:dyDescent="0.3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ht="15.75" thickBot="1" x14ac:dyDescent="0.3">
      <c r="A5" s="20" t="s">
        <v>259</v>
      </c>
      <c r="B5" s="21" t="s">
        <v>260</v>
      </c>
      <c r="C5" s="41" t="s">
        <v>13</v>
      </c>
      <c r="D5" s="22" t="s">
        <v>243</v>
      </c>
      <c r="E5" s="23" t="s">
        <v>261</v>
      </c>
      <c r="F5" s="23" t="s">
        <v>262</v>
      </c>
      <c r="G5" s="25">
        <v>13.66</v>
      </c>
      <c r="H5" s="25">
        <v>10.33</v>
      </c>
      <c r="I5" s="24">
        <v>1.29</v>
      </c>
      <c r="J5" s="23" t="s">
        <v>263</v>
      </c>
      <c r="K5" s="26">
        <v>0.67410000000000003</v>
      </c>
      <c r="L5" s="28" t="s">
        <v>54</v>
      </c>
      <c r="M5" s="28" t="s">
        <v>264</v>
      </c>
      <c r="N5" s="29">
        <v>-1.8E-3</v>
      </c>
    </row>
    <row r="6" spans="1:14" ht="15.75" thickBot="1" x14ac:dyDescent="0.3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5.75" thickBot="1" x14ac:dyDescent="0.3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5.75" thickBot="1" x14ac:dyDescent="0.3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5.75" thickBot="1" x14ac:dyDescent="0.3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5.75" thickBot="1" x14ac:dyDescent="0.3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5.75" thickBot="1" x14ac:dyDescent="0.3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60" customFormat="1" ht="15.75" thickBot="1" x14ac:dyDescent="0.3">
      <c r="A12" s="61" t="s">
        <v>301</v>
      </c>
      <c r="B12" s="62" t="s">
        <v>302</v>
      </c>
      <c r="C12" s="63" t="s">
        <v>31</v>
      </c>
      <c r="D12" s="64" t="s">
        <v>243</v>
      </c>
      <c r="E12" s="65" t="s">
        <v>303</v>
      </c>
      <c r="F12" s="70" t="s">
        <v>54</v>
      </c>
      <c r="G12" s="67">
        <v>30.13</v>
      </c>
      <c r="H12" s="70" t="s">
        <v>54</v>
      </c>
      <c r="I12" s="67">
        <v>1.39</v>
      </c>
      <c r="J12" s="65" t="s">
        <v>304</v>
      </c>
      <c r="K12" s="68">
        <v>0.72070000000000001</v>
      </c>
      <c r="L12" s="71">
        <v>44776</v>
      </c>
      <c r="M12" s="70" t="s">
        <v>305</v>
      </c>
      <c r="N12" s="68">
        <v>2.8199999999999999E-2</v>
      </c>
    </row>
    <row r="13" spans="1:14" ht="15.75" thickBot="1" x14ac:dyDescent="0.3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ht="15.75" thickBot="1" x14ac:dyDescent="0.3">
      <c r="A14" s="11" t="s">
        <v>312</v>
      </c>
      <c r="B14" s="12" t="s">
        <v>302</v>
      </c>
      <c r="C14" s="40" t="s">
        <v>31</v>
      </c>
      <c r="D14" s="13" t="s">
        <v>243</v>
      </c>
      <c r="E14" s="14" t="s">
        <v>313</v>
      </c>
      <c r="F14" s="14" t="s">
        <v>314</v>
      </c>
      <c r="G14" s="14">
        <v>17.72</v>
      </c>
      <c r="H14" s="14">
        <v>4.3499999999999996</v>
      </c>
      <c r="I14" s="16">
        <v>1.39</v>
      </c>
      <c r="J14" s="14" t="s">
        <v>315</v>
      </c>
      <c r="K14" s="17">
        <v>0.92459999999999998</v>
      </c>
      <c r="L14" s="18">
        <v>44776</v>
      </c>
      <c r="M14" s="19" t="s">
        <v>316</v>
      </c>
      <c r="N14" s="17">
        <v>3.4799999999999998E-2</v>
      </c>
    </row>
    <row r="15" spans="1:14" ht="15.75" thickBot="1" x14ac:dyDescent="0.3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5.75" thickBot="1" x14ac:dyDescent="0.3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5.75" thickBot="1" x14ac:dyDescent="0.3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5.75" thickBot="1" x14ac:dyDescent="0.3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5.75" thickBot="1" x14ac:dyDescent="0.3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5.75" thickBot="1" x14ac:dyDescent="0.3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5.75" thickBot="1" x14ac:dyDescent="0.3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5.75" thickBot="1" x14ac:dyDescent="0.3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5.75" thickBot="1" x14ac:dyDescent="0.3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5.75" thickBot="1" x14ac:dyDescent="0.3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5.75" thickBot="1" x14ac:dyDescent="0.3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5.75" thickBot="1" x14ac:dyDescent="0.3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5.75" thickBot="1" x14ac:dyDescent="0.3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60" customFormat="1" ht="15.75" thickBot="1" x14ac:dyDescent="0.3">
      <c r="A28" s="61" t="s">
        <v>391</v>
      </c>
      <c r="B28" s="62" t="s">
        <v>392</v>
      </c>
      <c r="C28" s="63" t="s">
        <v>13</v>
      </c>
      <c r="D28" s="64" t="s">
        <v>243</v>
      </c>
      <c r="E28" s="67" t="s">
        <v>393</v>
      </c>
      <c r="F28" s="72">
        <v>-26.39</v>
      </c>
      <c r="G28" s="70" t="s">
        <v>54</v>
      </c>
      <c r="H28" s="70" t="s">
        <v>54</v>
      </c>
      <c r="I28" s="67">
        <v>1.82</v>
      </c>
      <c r="J28" s="65" t="s">
        <v>394</v>
      </c>
      <c r="K28" s="68">
        <v>0.69989999999999997</v>
      </c>
      <c r="L28" s="70" t="s">
        <v>54</v>
      </c>
      <c r="M28" s="70" t="s">
        <v>395</v>
      </c>
      <c r="N28" s="68">
        <v>5.3499999999999999E-2</v>
      </c>
    </row>
    <row r="29" spans="1:14" ht="15.75" thickBot="1" x14ac:dyDescent="0.3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5.75" thickBot="1" x14ac:dyDescent="0.3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60" customFormat="1" ht="15.75" thickBot="1" x14ac:dyDescent="0.3">
      <c r="A31" s="73" t="s">
        <v>10</v>
      </c>
      <c r="B31" s="74" t="s">
        <v>409</v>
      </c>
      <c r="C31" s="75" t="s">
        <v>13</v>
      </c>
      <c r="D31" s="76" t="s">
        <v>243</v>
      </c>
      <c r="E31" s="77" t="s">
        <v>410</v>
      </c>
      <c r="F31" s="78">
        <v>-17.399999999999999</v>
      </c>
      <c r="G31" s="79" t="s">
        <v>54</v>
      </c>
      <c r="H31" s="79" t="s">
        <v>54</v>
      </c>
      <c r="I31" s="77">
        <v>4.67</v>
      </c>
      <c r="J31" s="80" t="s">
        <v>411</v>
      </c>
      <c r="K31" s="81">
        <v>0.29959999999999998</v>
      </c>
      <c r="L31" s="79" t="s">
        <v>54</v>
      </c>
      <c r="M31" s="79" t="s">
        <v>412</v>
      </c>
      <c r="N31" s="82">
        <v>0.10150000000000001</v>
      </c>
    </row>
    <row r="32" spans="1:14" ht="15.75" thickBot="1" x14ac:dyDescent="0.3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5.75" thickBot="1" x14ac:dyDescent="0.3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5.75" thickBot="1" x14ac:dyDescent="0.3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5.75" thickBot="1" x14ac:dyDescent="0.3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5.75" thickBot="1" x14ac:dyDescent="0.3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5.75" thickBot="1" x14ac:dyDescent="0.3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ht="15.75" thickBot="1" x14ac:dyDescent="0.3">
      <c r="A38" s="11" t="s">
        <v>445</v>
      </c>
      <c r="B38" s="12" t="s">
        <v>446</v>
      </c>
      <c r="C38" s="40" t="s">
        <v>13</v>
      </c>
      <c r="D38" s="13" t="s">
        <v>243</v>
      </c>
      <c r="E38" s="16" t="s">
        <v>447</v>
      </c>
      <c r="F38" s="16" t="s">
        <v>448</v>
      </c>
      <c r="G38" s="16">
        <v>28.63</v>
      </c>
      <c r="H38" s="16">
        <v>13.37</v>
      </c>
      <c r="I38" s="16">
        <v>2.92</v>
      </c>
      <c r="J38" s="14" t="s">
        <v>449</v>
      </c>
      <c r="K38" s="32">
        <v>0.4834</v>
      </c>
      <c r="L38" s="19" t="s">
        <v>54</v>
      </c>
      <c r="M38" s="19" t="s">
        <v>450</v>
      </c>
      <c r="N38" s="17">
        <v>9.0499999999999997E-2</v>
      </c>
    </row>
    <row r="39" spans="1:14" ht="15.75" thickBot="1" x14ac:dyDescent="0.3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5.75" thickBot="1" x14ac:dyDescent="0.3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5.75" thickBot="1" x14ac:dyDescent="0.3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5.75" thickBot="1" x14ac:dyDescent="0.3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5.75" thickBot="1" x14ac:dyDescent="0.3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5.75" thickBot="1" x14ac:dyDescent="0.3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workbookViewId="0">
      <selection activeCell="J36" sqref="J36"/>
    </sheetView>
  </sheetViews>
  <sheetFormatPr defaultColWidth="8.85546875" defaultRowHeight="15" x14ac:dyDescent="0.25"/>
  <cols>
    <col min="1" max="1" width="7.7109375" bestFit="1" customWidth="1"/>
    <col min="2" max="2" width="26.85546875" bestFit="1" customWidth="1"/>
    <col min="3" max="3" width="9.28515625" bestFit="1" customWidth="1"/>
    <col min="4" max="4" width="12.42578125" bestFit="1" customWidth="1"/>
    <col min="5" max="5" width="10.7109375" bestFit="1" customWidth="1"/>
    <col min="6" max="6" width="11.8554687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1.8554687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5.75" thickBot="1" x14ac:dyDescent="0.3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5.75" thickBot="1" x14ac:dyDescent="0.3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5.75" thickBot="1" x14ac:dyDescent="0.3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5.75" thickBot="1" x14ac:dyDescent="0.3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60" customFormat="1" ht="15.75" thickBot="1" x14ac:dyDescent="0.3">
      <c r="A6" s="61" t="s">
        <v>56</v>
      </c>
      <c r="B6" s="62" t="s">
        <v>57</v>
      </c>
      <c r="C6" s="63" t="s">
        <v>13</v>
      </c>
      <c r="D6" s="64" t="s">
        <v>32</v>
      </c>
      <c r="E6" s="65" t="s">
        <v>58</v>
      </c>
      <c r="F6" s="65" t="s">
        <v>59</v>
      </c>
      <c r="G6" s="65">
        <v>14</v>
      </c>
      <c r="H6" s="66">
        <v>9.94</v>
      </c>
      <c r="I6" s="67">
        <v>2.94</v>
      </c>
      <c r="J6" s="66" t="s">
        <v>60</v>
      </c>
      <c r="K6" s="68">
        <v>0.70030000000000003</v>
      </c>
      <c r="L6" s="71">
        <v>44833</v>
      </c>
      <c r="M6" s="70" t="s">
        <v>61</v>
      </c>
      <c r="N6" s="68">
        <v>2.9700000000000001E-2</v>
      </c>
    </row>
    <row r="7" spans="1:14" ht="15.75" thickBot="1" x14ac:dyDescent="0.3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5.75" thickBot="1" x14ac:dyDescent="0.3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5.75" thickBot="1" x14ac:dyDescent="0.3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5.75" thickBot="1" x14ac:dyDescent="0.3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60" customFormat="1" ht="15.75" thickBot="1" x14ac:dyDescent="0.3">
      <c r="A11" s="73" t="s">
        <v>86</v>
      </c>
      <c r="B11" s="74" t="s">
        <v>87</v>
      </c>
      <c r="C11" s="75" t="s">
        <v>31</v>
      </c>
      <c r="D11" s="76" t="s">
        <v>32</v>
      </c>
      <c r="E11" s="83" t="s">
        <v>88</v>
      </c>
      <c r="F11" s="83" t="s">
        <v>89</v>
      </c>
      <c r="G11" s="83">
        <v>5.53</v>
      </c>
      <c r="H11" s="83">
        <v>3.16</v>
      </c>
      <c r="I11" s="77">
        <v>1.66</v>
      </c>
      <c r="J11" s="83" t="s">
        <v>90</v>
      </c>
      <c r="K11" s="82">
        <v>1</v>
      </c>
      <c r="L11" s="84">
        <v>44805</v>
      </c>
      <c r="M11" s="79" t="s">
        <v>91</v>
      </c>
      <c r="N11" s="82">
        <v>8.5000000000000006E-3</v>
      </c>
    </row>
    <row r="12" spans="1:14" ht="15.75" thickBot="1" x14ac:dyDescent="0.3">
      <c r="A12" s="11" t="s">
        <v>92</v>
      </c>
      <c r="B12" s="12" t="s">
        <v>93</v>
      </c>
      <c r="C12" s="40" t="s">
        <v>39</v>
      </c>
      <c r="D12" s="13" t="s">
        <v>32</v>
      </c>
      <c r="E12" s="14" t="s">
        <v>94</v>
      </c>
      <c r="F12" s="14" t="s">
        <v>95</v>
      </c>
      <c r="G12" s="14">
        <v>6.76</v>
      </c>
      <c r="H12" s="14">
        <v>3.27</v>
      </c>
      <c r="I12" s="16">
        <v>1.17</v>
      </c>
      <c r="J12" s="14" t="s">
        <v>96</v>
      </c>
      <c r="K12" s="17">
        <v>0.73499999999999999</v>
      </c>
      <c r="L12" s="18">
        <v>44796</v>
      </c>
      <c r="M12" s="19" t="s">
        <v>97</v>
      </c>
      <c r="N12" s="17">
        <v>3.1099999999999999E-2</v>
      </c>
    </row>
    <row r="13" spans="1:14" ht="15.75" thickBot="1" x14ac:dyDescent="0.3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5.75" thickBot="1" x14ac:dyDescent="0.3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5.75" thickBot="1" x14ac:dyDescent="0.3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5.75" thickBot="1" x14ac:dyDescent="0.3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ht="15.75" thickBot="1" x14ac:dyDescent="0.3">
      <c r="A17" s="20" t="s">
        <v>121</v>
      </c>
      <c r="B17" s="21" t="s">
        <v>122</v>
      </c>
      <c r="C17" s="41" t="s">
        <v>31</v>
      </c>
      <c r="D17" s="22" t="s">
        <v>32</v>
      </c>
      <c r="E17" s="25" t="s">
        <v>123</v>
      </c>
      <c r="F17" s="23" t="s">
        <v>124</v>
      </c>
      <c r="G17" s="23">
        <v>4.8899999999999997</v>
      </c>
      <c r="H17" s="23">
        <v>1.94</v>
      </c>
      <c r="I17" s="24">
        <v>2.54</v>
      </c>
      <c r="J17" s="23" t="s">
        <v>125</v>
      </c>
      <c r="K17" s="26">
        <v>1</v>
      </c>
      <c r="L17" s="27">
        <v>44798</v>
      </c>
      <c r="M17" s="28" t="s">
        <v>126</v>
      </c>
      <c r="N17" s="26">
        <v>2.6599999999999999E-2</v>
      </c>
    </row>
    <row r="18" spans="1:14" ht="15.75" thickBot="1" x14ac:dyDescent="0.3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5.75" thickBot="1" x14ac:dyDescent="0.3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5.75" thickBot="1" x14ac:dyDescent="0.3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5.75" thickBot="1" x14ac:dyDescent="0.3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5.75" thickBot="1" x14ac:dyDescent="0.3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5.75" thickBot="1" x14ac:dyDescent="0.3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5.75" thickBot="1" x14ac:dyDescent="0.3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5.75" thickBot="1" x14ac:dyDescent="0.3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5.75" thickBot="1" x14ac:dyDescent="0.3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5.75" thickBot="1" x14ac:dyDescent="0.3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5.75" thickBot="1" x14ac:dyDescent="0.3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5.75" thickBot="1" x14ac:dyDescent="0.3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5.75" thickBot="1" x14ac:dyDescent="0.3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5.75" thickBot="1" x14ac:dyDescent="0.3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5.75" thickBot="1" x14ac:dyDescent="0.3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5.75" thickBot="1" x14ac:dyDescent="0.3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5.75" thickBot="1" x14ac:dyDescent="0.3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5.75" thickBot="1" x14ac:dyDescent="0.3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5.75" thickBot="1" x14ac:dyDescent="0.3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5.75" thickBot="1" x14ac:dyDescent="0.3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5.75" thickBot="1" x14ac:dyDescent="0.3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H29"/>
  <sheetViews>
    <sheetView tabSelected="1" zoomScaleNormal="100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AE9" sqref="AE9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6.42578125" style="1" bestFit="1" customWidth="1"/>
    <col min="4" max="5" width="9.140625" style="4"/>
    <col min="6" max="6" width="11.7109375" style="6" bestFit="1" customWidth="1"/>
    <col min="7" max="9" width="9.140625" style="6"/>
    <col min="10" max="11" width="9.140625" style="4"/>
    <col min="12" max="18" width="9.140625" style="1"/>
    <col min="19" max="21" width="9.140625" style="4"/>
    <col min="22" max="27" width="9.140625" style="1"/>
    <col min="28" max="28" width="11" style="1" bestFit="1" customWidth="1"/>
    <col min="29" max="31" width="9.140625" style="4"/>
    <col min="32" max="33" width="9.140625" style="1"/>
    <col min="34" max="34" width="14.7109375" style="1" bestFit="1" customWidth="1"/>
    <col min="35" max="16384" width="9.140625" style="1"/>
  </cols>
  <sheetData>
    <row r="1" spans="1:34" x14ac:dyDescent="0.2">
      <c r="D1" s="1"/>
      <c r="F1" s="89" t="s">
        <v>499</v>
      </c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</row>
    <row r="2" spans="1:34" s="2" customFormat="1" x14ac:dyDescent="0.2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534</v>
      </c>
      <c r="L2" s="5" t="s">
        <v>514</v>
      </c>
      <c r="M2" s="5" t="s">
        <v>501</v>
      </c>
      <c r="N2" s="5" t="s">
        <v>525</v>
      </c>
      <c r="O2" s="5" t="s">
        <v>530</v>
      </c>
      <c r="P2" s="5" t="s">
        <v>531</v>
      </c>
      <c r="Q2" s="5" t="s">
        <v>509</v>
      </c>
      <c r="R2" s="5" t="s">
        <v>502</v>
      </c>
      <c r="S2" s="5" t="s">
        <v>510</v>
      </c>
      <c r="T2" s="5" t="s">
        <v>518</v>
      </c>
      <c r="U2" s="5" t="s">
        <v>519</v>
      </c>
      <c r="V2" s="5" t="s">
        <v>520</v>
      </c>
      <c r="W2" s="5" t="s">
        <v>506</v>
      </c>
      <c r="X2" s="5" t="s">
        <v>507</v>
      </c>
      <c r="Y2" s="5" t="s">
        <v>508</v>
      </c>
      <c r="Z2" s="2" t="s">
        <v>515</v>
      </c>
      <c r="AB2" s="2" t="s">
        <v>528</v>
      </c>
      <c r="AC2" s="5" t="s">
        <v>517</v>
      </c>
      <c r="AD2" s="5" t="s">
        <v>533</v>
      </c>
      <c r="AE2" s="5" t="s">
        <v>532</v>
      </c>
      <c r="AF2" s="5" t="s">
        <v>516</v>
      </c>
      <c r="AG2" s="5" t="s">
        <v>521</v>
      </c>
      <c r="AH2" s="5" t="s">
        <v>522</v>
      </c>
    </row>
    <row r="3" spans="1:34" x14ac:dyDescent="0.2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[1]Main!$C$6*$E$28</f>
        <v>88.656900000000007</v>
      </c>
      <c r="G3" s="49">
        <f>[1]Main!$C$8*$E$28</f>
        <v>138934.22798999998</v>
      </c>
      <c r="H3" s="49">
        <f>[1]Main!$C$11*$E$28</f>
        <v>2273.85</v>
      </c>
      <c r="I3" s="49">
        <f>[1]Main!$C$12*$E$28</f>
        <v>136660.37798999998</v>
      </c>
      <c r="J3" s="4" t="str">
        <f>[1]Main!$C$28</f>
        <v>FQ123</v>
      </c>
      <c r="K3" s="86">
        <f>[1]Main!$D$28</f>
        <v>44833</v>
      </c>
      <c r="L3" s="50">
        <f>[1]Main!$C$33</f>
        <v>24.304770592127053</v>
      </c>
      <c r="N3" s="56">
        <f>'[1]Financial Model'!$AD$21*1000*E28</f>
        <v>5622.7799999999934</v>
      </c>
      <c r="O3" s="56">
        <f>'[1]Financial Model'!$AC$21*1000*E28</f>
        <v>5326.1099999999988</v>
      </c>
      <c r="P3" s="56">
        <f>'[1]Financial Model'!$AB$21*1000*E28</f>
        <v>2361.27</v>
      </c>
      <c r="Q3" s="51">
        <f>[1]Main!$C$34</f>
        <v>24.880641209063874</v>
      </c>
      <c r="R3" s="51">
        <f>[1]Main!$C$38</f>
        <v>37.504159682207103</v>
      </c>
      <c r="S3" s="51">
        <f>[1]Main!$C$36</f>
        <v>9.4420201618000252</v>
      </c>
      <c r="T3" s="53">
        <f>'[1]Financial Model'!$AD$25</f>
        <v>4.8767344739323759E-2</v>
      </c>
      <c r="U3" s="53">
        <f>'[1]Financial Model'!$AC$25</f>
        <v>0.19076009945726247</v>
      </c>
      <c r="V3" s="53">
        <f>'[1]Financial Model'!$AB$25</f>
        <v>-4.3817266150267264E-2</v>
      </c>
      <c r="W3" s="53">
        <f>'[1]Financial Model'!$W$34</f>
        <v>0.44257901789233084</v>
      </c>
      <c r="X3" s="53">
        <f>'[1]Financial Model'!$W$35</f>
        <v>0.13360132419011606</v>
      </c>
      <c r="Y3" s="53">
        <f>'[1]Financial Model'!$W$36</f>
        <v>0.11570899345787047</v>
      </c>
      <c r="Z3" s="53">
        <f>'[1]Financial Model'!$W$37</f>
        <v>0.19693654266958391</v>
      </c>
      <c r="AB3" s="56">
        <f>[1]Main!$C$26*E28</f>
        <v>8985.66</v>
      </c>
      <c r="AC3" s="53">
        <f>'[1]Financial Model'!$W$72</f>
        <v>0.44230482161516638</v>
      </c>
      <c r="AD3" s="53">
        <f>'[1]Financial Model'!$W$73</f>
        <v>0.14750593824228031</v>
      </c>
      <c r="AE3" s="53">
        <f>'[1]Financial Model'!$AD$85</f>
        <v>0.18026118604153288</v>
      </c>
      <c r="AG3" s="4">
        <f>[1]Main!$C$24</f>
        <v>1964</v>
      </c>
      <c r="AH3" s="4" t="str">
        <f>[1]Main!$C$23</f>
        <v>Beaverton, OR</v>
      </c>
    </row>
    <row r="4" spans="1:34" x14ac:dyDescent="0.2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[2]Main!$C$6*$E$28</f>
        <v>33.275400000000005</v>
      </c>
      <c r="G4" s="49">
        <f>[2]Main!$C$8*$E$28</f>
        <v>12940.8585300918</v>
      </c>
      <c r="H4" s="49">
        <f>[2]Main!$C$11*$E$28</f>
        <v>-4435.0770000000002</v>
      </c>
      <c r="I4" s="49">
        <f>[2]Main!$C$12*$E$28</f>
        <v>17375.9355300918</v>
      </c>
      <c r="J4" s="4" t="str">
        <f>[2]Main!$C$28</f>
        <v>FQ123</v>
      </c>
      <c r="L4" s="50">
        <f>[2]Main!$C$33</f>
        <v>13.471618843205112</v>
      </c>
      <c r="N4" s="56">
        <f>'[2]Financial Model'!$AA$22*E28</f>
        <v>1289.817929999999</v>
      </c>
      <c r="O4" s="56">
        <f>'[2]Financial Model'!$Z$22*$E$28</f>
        <v>379.29957000000132</v>
      </c>
      <c r="P4" s="56">
        <f>'[2]Financial Model'!$Y$22*$E$28</f>
        <v>631.88757000000021</v>
      </c>
      <c r="Q4" s="51">
        <f>[2]Main!$C$34</f>
        <v>10.068932086717085</v>
      </c>
      <c r="S4" s="51">
        <f>[2]Main!$C$36</f>
        <v>4.1363260534772177</v>
      </c>
      <c r="T4" s="53">
        <f>'[2]Financial Model'!$AA$26</f>
        <v>0.28174654717062797</v>
      </c>
      <c r="V4" s="4"/>
      <c r="W4" s="53">
        <f>'[2]Financial Model'!$AA$35</f>
        <v>0.54513731020621858</v>
      </c>
      <c r="X4" s="53">
        <f>'[2]Financial Model'!$AA$36</f>
        <v>0.13783073519228486</v>
      </c>
      <c r="Y4" s="53">
        <f>'[2]Financial Model'!$AA$37</f>
        <v>0.1171191035146683</v>
      </c>
      <c r="Z4" s="53">
        <f>'[2]Financial Model'!$AA$38</f>
        <v>0.20153557290196375</v>
      </c>
      <c r="AB4" s="56">
        <f>[2]Main!$C$26*E28</f>
        <v>2177.4973500000001</v>
      </c>
      <c r="AC4" s="53">
        <f>'[2]Financial Model'!$T$76</f>
        <v>0.9241949083593437</v>
      </c>
      <c r="AF4" s="57">
        <f>[2]Main!$C$25</f>
        <v>1297</v>
      </c>
      <c r="AG4" s="4">
        <f>[2]Main!$C$24</f>
        <v>1899</v>
      </c>
      <c r="AH4" s="4" t="str">
        <f>[2]Main!$C$23</f>
        <v>Denver, US</v>
      </c>
    </row>
    <row r="5" spans="1:34" x14ac:dyDescent="0.2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52.36</v>
      </c>
      <c r="G5" s="49">
        <f>[3]Main!$C$8</f>
        <v>6951.8895599999996</v>
      </c>
      <c r="H5" s="49">
        <f>[3]Main!$C$11</f>
        <v>-615.79999999999995</v>
      </c>
      <c r="I5" s="49">
        <f>[3]Main!$C$12</f>
        <v>7567.6895599999998</v>
      </c>
      <c r="J5" s="4" t="str">
        <f>[3]Main!$C$28</f>
        <v>FY22</v>
      </c>
      <c r="L5" s="50">
        <f>[3]Main!$C$33</f>
        <v>11.170021490774916</v>
      </c>
      <c r="N5" s="1">
        <f>'[3]Financial Model'!$O$17</f>
        <v>677.49999999999943</v>
      </c>
      <c r="O5" s="1">
        <f>'[3]Financial Model'!$N$17</f>
        <v>286.70000000000039</v>
      </c>
      <c r="P5" s="1">
        <f>'[3]Financial Model'!$M$17</f>
        <v>0</v>
      </c>
      <c r="Q5" s="51">
        <f>[3]Main!$C$34</f>
        <v>9.8614553505535145</v>
      </c>
      <c r="R5" s="51">
        <f>[3]Main!$C$38</f>
        <v>23.595786536449214</v>
      </c>
      <c r="S5" s="51">
        <f>[3]Main!$C$36</f>
        <v>6.6149861386138609</v>
      </c>
      <c r="T5" s="53">
        <f>'[3]Financial Model'!$O$21</f>
        <v>0.3088218650973289</v>
      </c>
      <c r="U5" s="53">
        <f>'[3]Financial Model'!$N$21</f>
        <v>0</v>
      </c>
      <c r="V5" s="53">
        <f>'[3]Financial Model'!$M$21</f>
        <v>0</v>
      </c>
      <c r="W5" s="53">
        <f>'[3]Financial Model'!$O$24</f>
        <v>0.42629542359324668</v>
      </c>
      <c r="X5" s="53">
        <f>'[3]Financial Model'!$O$25</f>
        <v>0.19572407531507371</v>
      </c>
      <c r="Y5" s="53">
        <f>'[3]Financial Model'!$O$26</f>
        <v>0.14645798655396777</v>
      </c>
      <c r="Z5" s="53">
        <f>'[3]Financial Model'!$O$27</f>
        <v>0.1768922366662618</v>
      </c>
      <c r="AB5" s="56">
        <f>[3]Main!$C$26</f>
        <v>633</v>
      </c>
      <c r="AC5" s="53">
        <f>'[3]Financial Model'!$O$66</f>
        <v>0.17899050102439928</v>
      </c>
      <c r="AE5" s="53">
        <f>'[3]Financial Model'!$O$68</f>
        <v>0.13683823688363347</v>
      </c>
      <c r="AF5" s="57">
        <f>[3]Main!$C$25</f>
        <v>0</v>
      </c>
      <c r="AG5" s="4">
        <f>[3]Main!$C$24</f>
        <v>1864</v>
      </c>
      <c r="AH5" s="4" t="str">
        <f>[3]Main!$C$23</f>
        <v>Leicester, UK</v>
      </c>
    </row>
    <row r="6" spans="1:34" x14ac:dyDescent="0.2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1.022</v>
      </c>
      <c r="G6" s="49">
        <f>[4]Main!$C$8</f>
        <v>5273.52</v>
      </c>
      <c r="H6" s="49">
        <f>[4]Main!$C$11</f>
        <v>1013.1000000000001</v>
      </c>
      <c r="I6" s="49">
        <f>[4]Main!$C$12</f>
        <v>4260.42</v>
      </c>
      <c r="J6" s="4" t="str">
        <f>[4]Main!$C$28</f>
        <v>H123</v>
      </c>
      <c r="K6" s="86">
        <f>[4]Main!$D$28</f>
        <v>44826</v>
      </c>
      <c r="L6" s="50">
        <f>[4]Main!$C$33</f>
        <v>19.696809986130337</v>
      </c>
      <c r="N6" s="1">
        <f>'[4]Financial Model'!$T$18</f>
        <v>459.60000000000014</v>
      </c>
      <c r="O6" s="1">
        <f>'[4]Financial Model'!$S$18</f>
        <v>229.20000000000027</v>
      </c>
      <c r="P6" s="1">
        <f>'[4]Financial Model'!$R$18</f>
        <v>250.70000000000005</v>
      </c>
      <c r="Q6" s="52">
        <f>[4]Main!$C$34</f>
        <v>13.208756530668998</v>
      </c>
      <c r="R6" s="52">
        <f>[4]Main!$C$38</f>
        <v>21.698173855148315</v>
      </c>
      <c r="S6" s="52">
        <f>[4]Main!$C$36</f>
        <v>1.9809164028971902</v>
      </c>
      <c r="T6" s="53">
        <f>'[4]Financial Model'!$T$22</f>
        <v>0.38845199682194798</v>
      </c>
      <c r="U6" s="53">
        <f>'[4]Financial Model'!$S$22</f>
        <v>9.245925247103548E-3</v>
      </c>
      <c r="V6" s="53">
        <f>'[4]Financial Model'!$R$22</f>
        <v>0.29526474204078168</v>
      </c>
      <c r="W6" s="53">
        <f>'[4]Financial Model'!$L$27</f>
        <v>0.48450691473710422</v>
      </c>
      <c r="X6" s="53">
        <f>'[4]Financial Model'!$L$28</f>
        <v>7.5349131979810399E-2</v>
      </c>
      <c r="Y6" s="53">
        <f>'[4]Financial Model'!$L$29</f>
        <v>4.8957696747470719E-2</v>
      </c>
      <c r="Z6" s="53">
        <f>'[4]Financial Model'!$L$30</f>
        <v>0.27489104927924868</v>
      </c>
      <c r="AB6" s="56">
        <f>[4]Main!$C$26</f>
        <v>1428.5</v>
      </c>
      <c r="AC6" s="53">
        <f>'[4]Financial Model'!$L$72</f>
        <v>0.43322965787097423</v>
      </c>
      <c r="AE6" s="53">
        <f>'[4]Financial Model'!$L$75</f>
        <v>0.32332903284217196</v>
      </c>
      <c r="AF6" s="57">
        <f>[4]Main!$C$25</f>
        <v>3402</v>
      </c>
      <c r="AG6" s="4">
        <f>[4]Main!$C$24</f>
        <v>1981</v>
      </c>
      <c r="AH6" s="4" t="str">
        <f>[4]Main!$C$23</f>
        <v>Bury, UK</v>
      </c>
    </row>
    <row r="7" spans="1:34" x14ac:dyDescent="0.2">
      <c r="B7" s="3" t="s">
        <v>526</v>
      </c>
      <c r="C7" s="1" t="s">
        <v>527</v>
      </c>
      <c r="D7" s="4" t="s">
        <v>13</v>
      </c>
      <c r="E7" s="4" t="s">
        <v>15</v>
      </c>
      <c r="F7" s="6">
        <f>[5]Main!$C$6</f>
        <v>7.25</v>
      </c>
      <c r="G7" s="49">
        <f>[5]Main!$C$8</f>
        <v>3461.73</v>
      </c>
      <c r="H7" s="49">
        <f>[5]Main!$C$11</f>
        <v>0</v>
      </c>
      <c r="I7" s="49">
        <f>[5]Main!$C$12</f>
        <v>3461.73</v>
      </c>
      <c r="J7" s="59"/>
      <c r="P7" s="4"/>
      <c r="S7" s="1"/>
      <c r="V7" s="4"/>
      <c r="AB7" s="49">
        <f>[5]Main!$C$26</f>
        <v>0</v>
      </c>
      <c r="AF7" s="4">
        <f>[5]Main!$C$25</f>
        <v>0</v>
      </c>
      <c r="AG7" s="4">
        <f>[5]Main!$C$24</f>
        <v>1982</v>
      </c>
      <c r="AH7" s="4" t="str">
        <f>[5]Main!$C$23</f>
        <v>Mansfiled, UK</v>
      </c>
    </row>
    <row r="8" spans="1:34" x14ac:dyDescent="0.2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[6]Main!$C$6*E28</f>
        <v>6.2217000000000011</v>
      </c>
      <c r="G8" s="49">
        <f>[6]Main!$C$8*E28</f>
        <v>2852.0272800000002</v>
      </c>
      <c r="H8" s="49">
        <f>[6]Main!$C$11*$E$28</f>
        <v>350.21847000000008</v>
      </c>
      <c r="I8" s="49">
        <f>[6]Main!$C$12*$E$28</f>
        <v>2501.80881</v>
      </c>
      <c r="J8" s="4" t="str">
        <f>[6]Main!$C$29</f>
        <v>FQ123</v>
      </c>
      <c r="L8" s="50">
        <f>[6]Main!$C$34</f>
        <v>15.715778773521555</v>
      </c>
      <c r="N8" s="56">
        <f>'[6]Financial Model'!$AA$20*$E$28</f>
        <v>334.85580000000039</v>
      </c>
      <c r="O8" s="56">
        <f>'[6]Financial Model'!$Z$20*$E$28</f>
        <v>-510.73461000000003</v>
      </c>
      <c r="P8" s="56">
        <f>'[6]Financial Model'!$Y$20*$E$28</f>
        <v>85.692059999999287</v>
      </c>
      <c r="Q8" s="52">
        <f>[6]Main!$C$35</f>
        <v>18.4823862349457</v>
      </c>
      <c r="R8" s="52">
        <f>[6]Main!$C$41</f>
        <v>8.6491744709215048</v>
      </c>
      <c r="S8" s="52">
        <f>[6]Main!$C$37</f>
        <v>1.7736424834957014</v>
      </c>
      <c r="T8" s="53">
        <f>'[6]Financial Model'!$AA$24</f>
        <v>0.27014278380938728</v>
      </c>
      <c r="U8" s="53">
        <f>'[6]Financial Model'!$Z$24</f>
        <v>-0.15045474463142361</v>
      </c>
      <c r="V8" s="53" t="str">
        <f>'[6]Financial Model'!$Y$24</f>
        <v>-</v>
      </c>
      <c r="W8" s="53">
        <f>'[6]Financial Model'!$Q$30</f>
        <v>0.46713889776340067</v>
      </c>
      <c r="X8" s="53">
        <f>'[6]Financial Model'!$Q$31</f>
        <v>2.5560817667452114E-2</v>
      </c>
      <c r="Y8" s="53">
        <f>'[6]Financial Model'!$Q$32</f>
        <v>5.6943479778837729E-3</v>
      </c>
      <c r="Z8" s="53">
        <f>'[6]Financial Model'!$Q$33</f>
        <v>0.39734494626677114</v>
      </c>
      <c r="AB8" s="56">
        <f>[6]Main!$C$27*E28</f>
        <v>887.58642000000009</v>
      </c>
      <c r="AC8" s="53"/>
      <c r="AD8" s="53">
        <f>'[6]Financial Model'!$Q$80</f>
        <v>0.15760593361675279</v>
      </c>
      <c r="AE8" s="53">
        <f>'[6]Financial Model'!$AA$94</f>
        <v>0.14276675535667846</v>
      </c>
      <c r="AF8" s="57">
        <f>[6]Main!$C$26</f>
        <v>422</v>
      </c>
      <c r="AG8" s="4">
        <f>[6]Main!$C$24</f>
        <v>1996</v>
      </c>
      <c r="AH8" s="4" t="str">
        <f>[6]Main!$C$23</f>
        <v>Baltimore, US</v>
      </c>
    </row>
    <row r="9" spans="1:34" x14ac:dyDescent="0.2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[7]Main!$C$6*E28</f>
        <v>19.53</v>
      </c>
      <c r="G9" s="49">
        <f>[7]Main!$C$8*$E$28</f>
        <v>1809.6497999999999</v>
      </c>
      <c r="H9" s="49"/>
      <c r="I9" s="4"/>
      <c r="J9" s="56"/>
      <c r="K9" s="56"/>
      <c r="L9" s="56"/>
      <c r="M9" s="56"/>
      <c r="AB9" s="56"/>
    </row>
    <row r="10" spans="1:34" x14ac:dyDescent="0.2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[8]Main!$C$6*E28</f>
        <v>9.523200000000001</v>
      </c>
      <c r="G10" s="49">
        <f>[8]Main!$C$8*E28</f>
        <v>1604.2782720000002</v>
      </c>
      <c r="H10" s="49">
        <f>[8]Main!$C$11*$E$28</f>
        <v>-164.61</v>
      </c>
      <c r="I10" s="49">
        <f>[8]Main!$C$12*$E$28</f>
        <v>1768.8882720000001</v>
      </c>
      <c r="J10" s="4" t="str">
        <f>[8]Main!$C$28</f>
        <v>Q122</v>
      </c>
      <c r="L10" s="50">
        <f>[8]Main!$C$33</f>
        <v>59.925343415248761</v>
      </c>
      <c r="N10" s="56">
        <f>'[8]Financial Model'!$Z$16*E28</f>
        <v>390.2521799999999</v>
      </c>
      <c r="O10" s="56">
        <f>'[8]Financial Model'!$Y$16*F28</f>
        <v>-225.093548387097</v>
      </c>
      <c r="P10" s="4"/>
      <c r="Q10" s="52">
        <f>[8]Main!$C$34</f>
        <v>4.0901579978361697</v>
      </c>
      <c r="S10" s="52">
        <f>[8]Main!$C$36</f>
        <v>1.2473050731522497</v>
      </c>
      <c r="T10" s="53">
        <f>'[8]Financial Model'!$Z$20</f>
        <v>0.33299379683036578</v>
      </c>
      <c r="V10" s="4"/>
      <c r="W10" s="53">
        <f>'[8]Financial Model'!$O$23</f>
        <v>0.36778425780328089</v>
      </c>
      <c r="X10" s="53">
        <f>'[8]Financial Model'!$O$24</f>
        <v>3.9716142656608319E-2</v>
      </c>
      <c r="Y10" s="53">
        <f>'[8]Financial Model'!$O$25</f>
        <v>3.0084252969327211E-2</v>
      </c>
      <c r="Z10" s="53">
        <f>'[8]Financial Model'!$O$26</f>
        <v>0.23990612577230669</v>
      </c>
      <c r="AB10" s="56">
        <f>[8]Main!$C$26*E28</f>
        <v>634.35300000000007</v>
      </c>
      <c r="AC10" s="53">
        <f>'[8]Financial Model'!$O$71</f>
        <v>0.4615447248541884</v>
      </c>
      <c r="AF10" s="57">
        <f>[8]Main!$C$25</f>
        <v>1141</v>
      </c>
      <c r="AG10" s="4">
        <f>[8]Main!$C$24</f>
        <v>1977</v>
      </c>
      <c r="AH10" s="4" t="str">
        <f>[8]Main!$C$23</f>
        <v>Pittsburgh, US</v>
      </c>
    </row>
    <row r="11" spans="1:34" x14ac:dyDescent="0.2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6.01</v>
      </c>
      <c r="G11" s="49">
        <f>[9]Main!$C$8</f>
        <v>600.63939999999991</v>
      </c>
      <c r="H11" s="49">
        <f>[9]Main!$C$11</f>
        <v>-15.399999999999977</v>
      </c>
      <c r="I11" s="49">
        <f>[9]Main!$C$12</f>
        <v>616.03939999999989</v>
      </c>
      <c r="J11" s="85" t="str">
        <f>[9]Main!$C$28</f>
        <v>H122</v>
      </c>
      <c r="K11" s="85"/>
      <c r="L11" s="56"/>
      <c r="N11" s="1">
        <f>'[9]Financial Model'!$S$13</f>
        <v>128.40000000000015</v>
      </c>
      <c r="O11" s="1">
        <f>'[9]Financial Model'!$R$13</f>
        <v>113.30000000000014</v>
      </c>
      <c r="P11" s="1">
        <f>'[9]Financial Model'!$Q$13</f>
        <v>24.599999999999909</v>
      </c>
      <c r="S11" s="52">
        <f>[9]Main!$C$36</f>
        <v>0.57205092846638639</v>
      </c>
      <c r="T11" s="53">
        <f>'[9]Financial Model'!$S$17</f>
        <v>0.19825340891680709</v>
      </c>
      <c r="U11" s="53">
        <f>'[9]Financial Model'!$R$17</f>
        <v>0.19389061642582761</v>
      </c>
      <c r="V11" s="53">
        <f>'[9]Financial Model'!$Q$17</f>
        <v>0.13080709882927222</v>
      </c>
      <c r="W11" s="53">
        <f>'[9]Financial Model'!$K$20</f>
        <v>0.43071703008831885</v>
      </c>
      <c r="X11" s="53">
        <f>'[9]Financial Model'!$K$21</f>
        <v>-2.1954992265856019E-3</v>
      </c>
      <c r="Y11" s="53">
        <f>'[9]Financial Model'!$K$22</f>
        <v>-6.7361908088419773E-3</v>
      </c>
      <c r="Z11" s="53">
        <f>'[9]Financial Model'!$K$23</f>
        <v>0.14556962025316267</v>
      </c>
      <c r="AB11" s="56">
        <f>[9]Main!$C$26</f>
        <v>986.4</v>
      </c>
      <c r="AC11" s="53">
        <f>'[9]Financial Model'!$S$57</f>
        <v>0</v>
      </c>
      <c r="AE11" s="53">
        <f>'[9]Financial Model'!$S$71</f>
        <v>0.20639304436772793</v>
      </c>
      <c r="AF11" s="53" t="str">
        <f>'[6]Financial Model'!$Y$24</f>
        <v>-</v>
      </c>
      <c r="AG11" s="4">
        <f>[9]Main!$C$24</f>
        <v>2000</v>
      </c>
      <c r="AH11" s="85" t="str">
        <f>[9]Main!$C$23</f>
        <v>London, UK</v>
      </c>
    </row>
    <row r="12" spans="1:34" x14ac:dyDescent="0.2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[10]Main!$C$6*E28</f>
        <v>14.768400000000002</v>
      </c>
      <c r="G12" s="49">
        <f>[10]Main!$C$8*E28</f>
        <v>745.0194367608002</v>
      </c>
      <c r="H12" s="49">
        <f>[10]Main!$C$11*E28</f>
        <v>152.98500000000001</v>
      </c>
      <c r="I12" s="49">
        <f>[10]Main!$C$12*E28</f>
        <v>592.03443676080019</v>
      </c>
      <c r="J12" s="4" t="str">
        <f>[10]Main!$C$27</f>
        <v>Q122</v>
      </c>
      <c r="L12" s="50">
        <f>[10]Main!$C$32</f>
        <v>-0.96423583702713767</v>
      </c>
      <c r="M12" s="50">
        <f>[10]Main!$C$38</f>
        <v>2.420425719782521</v>
      </c>
      <c r="N12" s="56">
        <f>'[10]Financial Model'!$X$18*E28</f>
        <v>244.59929999999974</v>
      </c>
      <c r="O12" s="56">
        <f>'[10]Financial Model'!$W$18*$E$28</f>
        <v>-106.03953000000016</v>
      </c>
      <c r="P12" s="56">
        <f>'[10]Financial Model'!$V$18*$E$28</f>
        <v>36.602940000000572</v>
      </c>
      <c r="Q12" s="52">
        <f>[10]Main!$C$33</f>
        <v>-50.21450968486225</v>
      </c>
      <c r="R12" s="52">
        <f>[10]Main!$C$37</f>
        <v>3.5983436371240685</v>
      </c>
      <c r="S12" s="52">
        <f>[10]Main!$C$35</f>
        <v>1.1733497350330941</v>
      </c>
      <c r="T12" s="53">
        <f>'[10]Financial Model'!$X$22</f>
        <v>0.18793978595910144</v>
      </c>
      <c r="U12" s="53">
        <f>'[10]Financial Model'!$W$22</f>
        <v>-0.137366539399013</v>
      </c>
      <c r="V12" s="53">
        <f>'[10]Financial Model'!$V$22</f>
        <v>0</v>
      </c>
      <c r="W12" s="53">
        <f>'[10]Financial Model'!$O$27</f>
        <v>0.55310902822720542</v>
      </c>
      <c r="X12" s="53">
        <f>'[10]Financial Model'!$O$28</f>
        <v>-1.1966602769322474E-2</v>
      </c>
      <c r="Y12" s="53">
        <f>'[10]Financial Model'!$O$30</f>
        <v>-2.0263004421958795E-2</v>
      </c>
      <c r="Z12" s="53">
        <f>'[10]Financial Model'!$O$31</f>
        <v>0.12839781600422653</v>
      </c>
      <c r="AB12" s="56">
        <f>'[10]Financial Model'!$O$41*E28</f>
        <v>523.13430000000005</v>
      </c>
      <c r="AC12" s="53">
        <f>'[10]Financial Model'!$X$69</f>
        <v>-0.25498478543021663</v>
      </c>
      <c r="AF12" s="57">
        <f>[10]Main!$C$25</f>
        <v>728</v>
      </c>
      <c r="AG12" s="4">
        <f>[10]Main!$C$24</f>
        <v>1892</v>
      </c>
      <c r="AH12" s="4" t="str">
        <f>[10]Main!$C$23</f>
        <v>Ohio, US</v>
      </c>
    </row>
    <row r="13" spans="1:34" x14ac:dyDescent="0.2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0.38490000000000002</v>
      </c>
      <c r="G13" s="49">
        <f>[11]Main!$C$8</f>
        <v>477.16053000000005</v>
      </c>
      <c r="H13" s="6">
        <f>[11]Main!$C$11</f>
        <v>-36.599999999999966</v>
      </c>
      <c r="I13" s="58">
        <f>[11]Main!$C$12</f>
        <v>513.76053000000002</v>
      </c>
      <c r="J13" s="4" t="str">
        <f>[11]Main!$C$27</f>
        <v>H123</v>
      </c>
      <c r="K13" s="86">
        <f>[11]Main!$D$27</f>
        <v>44832</v>
      </c>
      <c r="L13" s="56"/>
      <c r="N13" s="55">
        <f>'[11]Financial Model'!$T$14</f>
        <v>-4.0000000000000462</v>
      </c>
      <c r="O13" s="1">
        <f>'[11]Financial Model'!$S$14</f>
        <v>93.39999999999992</v>
      </c>
      <c r="P13" s="55">
        <f>'[11]Financial Model'!$R$14</f>
        <v>72.882999999999953</v>
      </c>
      <c r="S13" s="52">
        <f>[11]Main!$C$35</f>
        <v>1.1237883419689116</v>
      </c>
      <c r="T13" s="53">
        <f>'[11]Financial Model'!$T$18</f>
        <v>0.13607975706182329</v>
      </c>
      <c r="U13" s="53">
        <f>'[11]Financial Model'!$S$18</f>
        <v>0.4133402867980267</v>
      </c>
      <c r="V13" s="53">
        <f>'[11]Financial Model'!$R$18</f>
        <v>0.44106334313588214</v>
      </c>
      <c r="W13" s="53">
        <f>'[11]Financial Model'!$M$21</f>
        <v>0.52527198549410703</v>
      </c>
      <c r="X13" s="53">
        <f>'[11]Financial Model'!$M$22</f>
        <v>-1.3372620126926577E-2</v>
      </c>
      <c r="Y13" s="53">
        <f>'[11]Financial Model'!$M$23</f>
        <v>-1.6659111514052596E-2</v>
      </c>
      <c r="Z13" s="53">
        <f>'[11]Financial Model'!$M$24</f>
        <v>3.2894736842105241E-2</v>
      </c>
      <c r="AB13" s="56">
        <f>[11]Main!$C$25</f>
        <v>269.7</v>
      </c>
      <c r="AC13" s="53">
        <f>'[11]Financial Model'!$M$60</f>
        <v>5.6818181818181879E-2</v>
      </c>
      <c r="AD13" s="53">
        <f>'[11]Financial Model'!$M$61</f>
        <v>-3.4717251252684322E-2</v>
      </c>
      <c r="AE13" s="53">
        <f>'[11]Financial Model'!$M$75</f>
        <v>0.30564369900271987</v>
      </c>
      <c r="AF13" s="53" t="str">
        <f>'[6]Financial Model'!$Y$24</f>
        <v>-</v>
      </c>
      <c r="AG13" s="4">
        <f>[11]Main!$C$24</f>
        <v>2006</v>
      </c>
      <c r="AH13" s="4" t="str">
        <f>[11]Main!$C$23</f>
        <v>Manchester, UK</v>
      </c>
    </row>
    <row r="14" spans="1:34" x14ac:dyDescent="0.2">
      <c r="B14" s="3" t="s">
        <v>391</v>
      </c>
      <c r="C14" s="1" t="s">
        <v>392</v>
      </c>
      <c r="D14" s="4" t="s">
        <v>13</v>
      </c>
      <c r="E14" s="4" t="s">
        <v>15</v>
      </c>
      <c r="F14" s="7">
        <f>[12]Main!$C$6</f>
        <v>1.0900000000000001</v>
      </c>
      <c r="G14" s="49">
        <f>[12]Main!$C$8</f>
        <v>201.23580000000001</v>
      </c>
      <c r="H14" s="58">
        <f>[12]Main!$C$11</f>
        <v>14.5</v>
      </c>
      <c r="I14" s="58">
        <f>[12]Main!$C$12</f>
        <v>186.73580000000001</v>
      </c>
      <c r="J14" s="4" t="str">
        <f>[12]Main!$C$28</f>
        <v>FY22</v>
      </c>
      <c r="P14" s="4"/>
      <c r="S14" s="1"/>
      <c r="T14" s="53">
        <f>'[12]Financial Model'!$T$23</f>
        <v>0.20588400900900905</v>
      </c>
      <c r="V14" s="4"/>
      <c r="W14" s="53">
        <f>'[12]Financial Model'!$T$26</f>
        <v>0.55486890948567691</v>
      </c>
      <c r="X14" s="53">
        <f>'[12]Financial Model'!$T$27</f>
        <v>-8.0487007680993719E-2</v>
      </c>
      <c r="Y14" s="53">
        <f>'[12]Financial Model'!$T$28</f>
        <v>-8.2866014521513875E-2</v>
      </c>
      <c r="Z14" s="53">
        <f>'[12]Financial Model'!$T$29</f>
        <v>0.19258416742493159</v>
      </c>
      <c r="AB14" s="56">
        <f>[12]Main!$C$26</f>
        <v>103.071</v>
      </c>
      <c r="AC14" s="53">
        <f>'[12]Financial Model'!$T$74</f>
        <v>0.17328795191694746</v>
      </c>
      <c r="AE14" s="53">
        <f>'[12]Financial Model'!$T$76</f>
        <v>0.24063455746737328</v>
      </c>
      <c r="AF14" s="4">
        <f>[12]Main!$C$25</f>
        <v>85</v>
      </c>
      <c r="AG14" s="4">
        <f>[12]Main!$C$24</f>
        <v>1987</v>
      </c>
      <c r="AH14" s="4" t="str">
        <f>[12]Main!$C$23</f>
        <v>London, UK</v>
      </c>
    </row>
    <row r="15" spans="1:34" x14ac:dyDescent="0.2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1.022</v>
      </c>
      <c r="G15" s="49">
        <f>[13]Main!$C$8</f>
        <v>83.94708</v>
      </c>
      <c r="H15" s="49">
        <f>[13]Main!$C$11</f>
        <v>-2.1999999999999957</v>
      </c>
      <c r="I15" s="49">
        <f>[13]Main!$C$12</f>
        <v>86.147079999999988</v>
      </c>
      <c r="J15" s="4" t="str">
        <f>[13]Main!$C$29</f>
        <v>H122</v>
      </c>
      <c r="L15" s="50">
        <f>[13]Main!$C$34</f>
        <v>34.458832000000143</v>
      </c>
      <c r="N15" s="1">
        <f>'[13]Financial Model'!$S$17</f>
        <v>-36.099999999999973</v>
      </c>
      <c r="O15" s="1">
        <f>'[13]Financial Model'!$R$17</f>
        <v>-143.40000000000003</v>
      </c>
      <c r="P15" s="1">
        <f>'[13]Financial Model'!$Q$17</f>
        <v>-98.499999999999972</v>
      </c>
      <c r="Q15" s="51">
        <f>[13]Main!$C$35</f>
        <v>-4.6059933708871261</v>
      </c>
      <c r="R15" s="51">
        <f>[13]Main!$C$39</f>
        <v>-2.3222384525207773</v>
      </c>
      <c r="S15" s="51">
        <f>[13]Main!$C$37</f>
        <v>0.91152134454347877</v>
      </c>
      <c r="T15" s="53">
        <f>'[13]Financial Model'!$S$21</f>
        <v>-0.21053378762066999</v>
      </c>
      <c r="U15" s="53">
        <f>'[13]Financial Model'!$R$21</f>
        <v>-0.19192382700470356</v>
      </c>
      <c r="V15" s="53">
        <f>'[13]Financial Model'!$Q$21</f>
        <v>-3.4403669724769603E-4</v>
      </c>
      <c r="W15" s="53">
        <f>'[13]Financial Model'!$J$33</f>
        <v>0.5523088023088023</v>
      </c>
      <c r="X15" s="53">
        <f>'[13]Financial Model'!$J$34</f>
        <v>2.7056277056277018E-2</v>
      </c>
      <c r="Y15" s="53">
        <f>'[13]Financial Model'!$J$35</f>
        <v>9.0187590187589799E-3</v>
      </c>
      <c r="Z15" s="53">
        <f>'[13]Financial Model'!$J$36</f>
        <v>0.375000000000001</v>
      </c>
      <c r="AB15" s="56">
        <f>[13]Main!$C$27</f>
        <v>159.4</v>
      </c>
      <c r="AC15" s="53">
        <f>'[13]Financial Model'!$J$79</f>
        <v>-4.2642642642642614E-2</v>
      </c>
      <c r="AF15" s="57">
        <f>[13]Main!$C$26</f>
        <v>226</v>
      </c>
      <c r="AG15" s="4">
        <f>[13]Main!$C$25</f>
        <v>1985</v>
      </c>
      <c r="AH15" s="4" t="str">
        <f>[13]Main!$C$24</f>
        <v>Cheltenham, UK</v>
      </c>
    </row>
    <row r="16" spans="1:34" x14ac:dyDescent="0.2">
      <c r="B16" s="3"/>
      <c r="F16" s="7"/>
      <c r="G16" s="49"/>
      <c r="H16" s="49"/>
      <c r="I16" s="49"/>
      <c r="L16" s="50"/>
      <c r="Q16" s="51"/>
      <c r="R16" s="51"/>
      <c r="S16" s="51"/>
      <c r="T16" s="53"/>
      <c r="U16" s="53"/>
      <c r="V16" s="53"/>
      <c r="W16" s="53"/>
      <c r="X16" s="53"/>
      <c r="Y16" s="53"/>
      <c r="Z16" s="53"/>
      <c r="AB16" s="55"/>
      <c r="AC16" s="53"/>
      <c r="AF16" s="57"/>
      <c r="AG16" s="4"/>
      <c r="AH16" s="4"/>
    </row>
    <row r="17" spans="2:13" x14ac:dyDescent="0.2">
      <c r="B17" s="1" t="s">
        <v>12</v>
      </c>
      <c r="C17" s="1" t="s">
        <v>494</v>
      </c>
      <c r="D17" s="4" t="s">
        <v>13</v>
      </c>
      <c r="G17" s="49"/>
      <c r="H17" s="49"/>
      <c r="I17" s="49"/>
      <c r="L17" s="56"/>
      <c r="M17" s="5"/>
    </row>
    <row r="18" spans="2:13" x14ac:dyDescent="0.2">
      <c r="B18" s="1" t="s">
        <v>214</v>
      </c>
      <c r="C18" s="1" t="s">
        <v>488</v>
      </c>
      <c r="D18" s="4" t="s">
        <v>489</v>
      </c>
      <c r="G18" s="49"/>
      <c r="H18" s="49"/>
      <c r="I18" s="4"/>
      <c r="J18" s="1"/>
      <c r="K18" s="1"/>
      <c r="L18" s="56"/>
      <c r="M18" s="56"/>
    </row>
    <row r="19" spans="2:13" x14ac:dyDescent="0.2">
      <c r="B19" s="1" t="s">
        <v>445</v>
      </c>
      <c r="C19" s="1" t="s">
        <v>446</v>
      </c>
      <c r="D19" s="4" t="s">
        <v>489</v>
      </c>
      <c r="G19" s="49"/>
      <c r="H19" s="49"/>
      <c r="I19" s="4"/>
      <c r="J19" s="1"/>
      <c r="K19" s="1"/>
      <c r="L19" s="56"/>
      <c r="M19" s="56"/>
    </row>
    <row r="20" spans="2:13" x14ac:dyDescent="0.2">
      <c r="B20" s="1" t="s">
        <v>503</v>
      </c>
      <c r="C20" s="1" t="s">
        <v>504</v>
      </c>
      <c r="D20" s="4" t="s">
        <v>489</v>
      </c>
      <c r="G20" s="49"/>
      <c r="H20" s="49"/>
      <c r="I20" s="85"/>
      <c r="J20" s="1"/>
      <c r="K20" s="1"/>
      <c r="L20" s="56"/>
      <c r="M20" s="56"/>
    </row>
    <row r="21" spans="2:13" x14ac:dyDescent="0.2">
      <c r="G21" s="49"/>
      <c r="H21" s="49"/>
      <c r="I21" s="4"/>
      <c r="J21" s="1"/>
      <c r="K21" s="1"/>
      <c r="L21" s="56"/>
      <c r="M21" s="56"/>
    </row>
    <row r="22" spans="2:13" x14ac:dyDescent="0.2">
      <c r="B22" s="1" t="s">
        <v>492</v>
      </c>
      <c r="C22" s="1" t="s">
        <v>493</v>
      </c>
      <c r="D22" s="4" t="s">
        <v>31</v>
      </c>
      <c r="E22" s="4" t="s">
        <v>505</v>
      </c>
      <c r="G22" s="49"/>
      <c r="H22" s="49"/>
      <c r="I22" s="4"/>
      <c r="J22" s="1"/>
      <c r="K22" s="1"/>
      <c r="L22" s="56"/>
      <c r="M22" s="56"/>
    </row>
    <row r="23" spans="2:13" x14ac:dyDescent="0.2">
      <c r="B23" s="1" t="s">
        <v>511</v>
      </c>
      <c r="C23" s="1" t="s">
        <v>512</v>
      </c>
      <c r="D23" s="4" t="s">
        <v>31</v>
      </c>
      <c r="E23" s="4" t="s">
        <v>505</v>
      </c>
      <c r="G23" s="49"/>
      <c r="H23" s="49"/>
      <c r="I23" s="4"/>
      <c r="J23" s="1"/>
      <c r="K23" s="1"/>
      <c r="L23" s="56"/>
      <c r="M23" s="56"/>
    </row>
    <row r="24" spans="2:13" x14ac:dyDescent="0.2">
      <c r="I24" s="4"/>
      <c r="J24" s="1"/>
      <c r="K24" s="1"/>
      <c r="M24" s="56"/>
    </row>
    <row r="25" spans="2:13" x14ac:dyDescent="0.2">
      <c r="I25" s="4"/>
      <c r="J25" s="1"/>
      <c r="K25" s="1"/>
      <c r="M25" s="56"/>
    </row>
    <row r="26" spans="2:13" x14ac:dyDescent="0.2">
      <c r="I26" s="4"/>
      <c r="J26" s="1"/>
      <c r="K26" s="1"/>
      <c r="M26" s="56"/>
    </row>
    <row r="27" spans="2:13" x14ac:dyDescent="0.2">
      <c r="D27" s="87" t="s">
        <v>495</v>
      </c>
      <c r="E27" s="88"/>
      <c r="F27" s="42" t="s">
        <v>496</v>
      </c>
      <c r="I27" s="4"/>
      <c r="J27" s="1"/>
      <c r="K27" s="1"/>
    </row>
    <row r="28" spans="2:13" x14ac:dyDescent="0.2">
      <c r="D28" s="43" t="s">
        <v>497</v>
      </c>
      <c r="E28" s="44">
        <v>0.93</v>
      </c>
      <c r="F28" s="45">
        <f>1/E28</f>
        <v>1.075268817204301</v>
      </c>
      <c r="I28" s="4"/>
      <c r="J28" s="1"/>
      <c r="K28" s="1"/>
    </row>
    <row r="29" spans="2:13" x14ac:dyDescent="0.2">
      <c r="D29" s="46" t="s">
        <v>498</v>
      </c>
      <c r="E29" s="48">
        <v>0.89</v>
      </c>
      <c r="F29" s="47">
        <f>1/E29</f>
        <v>1.1235955056179776</v>
      </c>
      <c r="I29" s="4"/>
      <c r="J29" s="1"/>
      <c r="K29" s="1"/>
    </row>
  </sheetData>
  <mergeCells count="2">
    <mergeCell ref="D27:E27"/>
    <mergeCell ref="F1:AC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</hyperlinks>
  <pageMargins left="0.7" right="0.7" top="0.75" bottom="0.75" header="0.3" footer="0.3"/>
  <pageSetup paperSize="256" orientation="portrait" horizontalDpi="203" verticalDpi="203" r:id="rId14"/>
  <ignoredErrors>
    <ignoredError sqref="AF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2022-07-18T13:42:24Z</dcterms:created>
  <dcterms:modified xsi:type="dcterms:W3CDTF">2022-10-05T22:36:57Z</dcterms:modified>
</cp:coreProperties>
</file>