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3F2D308-9237-4CD9-9DFA-78CB279C6423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1" l="1"/>
  <c r="AH19" i="1"/>
  <c r="AL11" i="1" l="1"/>
  <c r="AK11" i="1"/>
  <c r="AI11" i="1"/>
  <c r="AJ11" i="1"/>
  <c r="AH11" i="1"/>
  <c r="AH7" i="1" l="1"/>
  <c r="AL7" i="1"/>
  <c r="AK7" i="1"/>
  <c r="AJ7" i="1"/>
  <c r="AH5" i="1" l="1"/>
  <c r="AH4" i="1" l="1"/>
  <c r="AJ4" i="1"/>
  <c r="AM23" i="1" l="1"/>
  <c r="AL23" i="1"/>
  <c r="AK23" i="1"/>
  <c r="AJ23" i="1"/>
  <c r="AH23" i="1"/>
  <c r="AJ22" i="1" l="1"/>
  <c r="AH22" i="1"/>
  <c r="AF22" i="1" l="1"/>
  <c r="AE22" i="1"/>
  <c r="AD22" i="1"/>
  <c r="O22" i="1"/>
  <c r="N22" i="1"/>
  <c r="M22" i="1"/>
  <c r="X22" i="1" l="1"/>
  <c r="T22" i="1" l="1"/>
  <c r="R22" i="1"/>
  <c r="AC22" i="1" l="1"/>
  <c r="Q22" i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19" i="1"/>
  <c r="N19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R19" i="1"/>
  <c r="Q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J19" i="1" l="1"/>
  <c r="I19" i="1"/>
  <c r="H19" i="1"/>
  <c r="G19" i="1"/>
  <c r="F19" i="1"/>
  <c r="AP19" i="1"/>
  <c r="AQ19" i="1"/>
  <c r="AO19" i="1"/>
  <c r="AF19" i="1"/>
  <c r="AE19" i="1"/>
  <c r="AD19" i="1"/>
  <c r="AC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AF7" i="1"/>
  <c r="AE7" i="1"/>
  <c r="AD7" i="1"/>
  <c r="AC7" i="1"/>
  <c r="J7" i="1"/>
  <c r="I7" i="1"/>
  <c r="G7" i="1"/>
  <c r="H7" i="1"/>
  <c r="F7" i="1"/>
  <c r="G55" i="1"/>
  <c r="G54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</calcChain>
</file>

<file path=xl/sharedStrings.xml><?xml version="1.0" encoding="utf-8"?>
<sst xmlns="http://schemas.openxmlformats.org/spreadsheetml/2006/main" count="216" uniqueCount="150">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</sst>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1">
          <cell r="U21">
            <v>0.32810304576208882</v>
          </cell>
          <cell r="Z21">
            <v>0.74515549935622039</v>
          </cell>
          <cell r="AA21">
            <v>0.55295345483521796</v>
          </cell>
          <cell r="AB21">
            <v>0.613053532344634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  <cell r="AP22">
            <v>0.09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M28">
            <v>1.6435123376317362E-2</v>
          </cell>
          <cell r="W28">
            <v>1.0772942519902369</v>
          </cell>
          <cell r="AP28">
            <v>0.77832312625357636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  <row r="34">
          <cell r="C34">
            <v>12.810644455706582</v>
          </cell>
        </row>
        <row r="35">
          <cell r="C35">
            <v>12.042526794965024</v>
          </cell>
        </row>
        <row r="36">
          <cell r="C36">
            <v>-3.3644129896469788</v>
          </cell>
        </row>
        <row r="37">
          <cell r="C37">
            <v>-19.688678338041829</v>
          </cell>
        </row>
      </sheetData>
      <sheetData sheetId="1">
        <row r="20">
          <cell r="AB20">
            <v>2914.6589999999997</v>
          </cell>
        </row>
        <row r="24">
          <cell r="U24">
            <v>0.2157616530514177</v>
          </cell>
          <cell r="AB24">
            <v>0.57428577182862139</v>
          </cell>
          <cell r="AP24">
            <v>7.0000000000000007E-2</v>
          </cell>
        </row>
        <row r="28">
          <cell r="AP28">
            <v>26.075206575494708</v>
          </cell>
        </row>
        <row r="29">
          <cell r="U29">
            <v>0.48479871175523354</v>
          </cell>
        </row>
        <row r="30">
          <cell r="AP30">
            <v>-0.50736431937474569</v>
          </cell>
        </row>
        <row r="32">
          <cell r="U32">
            <v>-0.2527931488801054</v>
          </cell>
        </row>
        <row r="33">
          <cell r="U33">
            <v>-0.11594861660079051</v>
          </cell>
        </row>
        <row r="34">
          <cell r="U34">
            <v>-8.1205093774064027E-3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5"/>
  <sheetViews>
    <sheetView tabSelected="1" zoomScale="96" zoomScaleNormal="96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J20" sqref="AJ20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5" width="9.42578125" style="28" customWidth="1"/>
    <col min="16" max="23" width="9.42578125" style="5" customWidth="1"/>
    <col min="24" max="27" width="9.42578125" style="23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2" width="9.140625" style="5"/>
    <col min="43" max="43" width="21" style="5" bestFit="1" customWidth="1"/>
    <col min="44" max="44" width="9.140625" style="1"/>
    <col min="45" max="45" width="16.42578125" style="5" bestFit="1" customWidth="1"/>
    <col min="46" max="46" width="28" style="1" bestFit="1" customWidth="1"/>
    <col min="47" max="16384" width="9.140625" style="1"/>
  </cols>
  <sheetData>
    <row r="1" spans="1:46" ht="15" customHeight="1" x14ac:dyDescent="0.2">
      <c r="F1" s="35" t="s">
        <v>29</v>
      </c>
      <c r="G1" s="35"/>
      <c r="H1" s="35"/>
      <c r="I1" s="35"/>
      <c r="J1" s="35"/>
      <c r="W1" s="35" t="s">
        <v>105</v>
      </c>
      <c r="X1" s="35"/>
      <c r="Y1" s="35"/>
      <c r="Z1" s="35"/>
      <c r="AA1" s="35"/>
      <c r="AB1" s="5"/>
    </row>
    <row r="2" spans="1:46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30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6" t="s">
        <v>144</v>
      </c>
      <c r="AI2" s="36" t="s">
        <v>145</v>
      </c>
      <c r="AJ2" s="36" t="s">
        <v>146</v>
      </c>
      <c r="AK2" s="36" t="s">
        <v>147</v>
      </c>
      <c r="AL2" s="36" t="s">
        <v>148</v>
      </c>
      <c r="AM2" s="36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2">
      <c r="F3" s="16"/>
      <c r="I3" s="17"/>
      <c r="J3" s="17"/>
      <c r="W3" s="22"/>
      <c r="X3" s="24"/>
      <c r="Y3" s="24"/>
      <c r="Z3" s="24"/>
      <c r="AA3" s="24"/>
      <c r="AT3" s="5"/>
    </row>
    <row r="4" spans="1:46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[1]Main!$C$6*F54</f>
        <v>159.1525</v>
      </c>
      <c r="G4" s="19">
        <f>[1]Main!$C$7</f>
        <v>68.916813000000005</v>
      </c>
      <c r="H4" s="17">
        <f>[1]Main!$C$8*F54</f>
        <v>10968.283080982501</v>
      </c>
      <c r="I4" s="17">
        <f>[1]Main!$C$11*F54</f>
        <v>538.24670000000003</v>
      </c>
      <c r="J4" s="17">
        <f>[1]Main!$C$12*F54</f>
        <v>10430.036380982501</v>
      </c>
      <c r="K4" s="5" t="str">
        <f>[1]Main!$C$28</f>
        <v>FQ323</v>
      </c>
      <c r="L4" s="8">
        <f>[1]Main!$D$28</f>
        <v>44901</v>
      </c>
      <c r="M4" s="27">
        <f>'[1]Financial Model'!$AU$27*F54</f>
        <v>147.7711171735871</v>
      </c>
      <c r="N4" s="32">
        <f>'[1]Financial Model'!$AU$29</f>
        <v>-7.1512435094722937E-2</v>
      </c>
      <c r="O4" s="32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2"/>
      <c r="X4" s="24">
        <f>'[1]Financial Model'!$AH$21*F54</f>
        <v>-254.69877999999997</v>
      </c>
      <c r="Y4" s="24">
        <f>'[1]Financial Model'!$AG$15*F54</f>
        <v>-173.72231999999997</v>
      </c>
      <c r="Z4" s="24"/>
      <c r="AA4" s="24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[2]Main!$C$6*F54</f>
        <v>3.3365999999999993</v>
      </c>
      <c r="G5" s="17">
        <f>[2]Main!$C$7</f>
        <v>58.801357000000003</v>
      </c>
      <c r="H5" s="17">
        <f>[2]Main!$C$8*F54</f>
        <v>196.19660776619997</v>
      </c>
      <c r="I5" s="17">
        <f>[2]Main!$C$11*F54</f>
        <v>13.289129999999998</v>
      </c>
      <c r="J5" s="17">
        <f>[2]Main!$C$12*F54</f>
        <v>182.90747776619997</v>
      </c>
      <c r="K5" s="5" t="str">
        <f>[2]Main!$C$28</f>
        <v>Q322</v>
      </c>
      <c r="L5" s="8">
        <f>[2]Main!$D$28</f>
        <v>42705</v>
      </c>
      <c r="N5" s="31"/>
      <c r="O5" s="31"/>
      <c r="P5" s="8"/>
      <c r="Q5" s="21">
        <f>[2]Main!$C$34</f>
        <v>26.782399177430296</v>
      </c>
      <c r="R5" s="21"/>
      <c r="S5" s="21"/>
      <c r="T5" s="21"/>
      <c r="U5" s="21"/>
      <c r="V5" s="8"/>
      <c r="W5" s="22"/>
      <c r="X5" s="24"/>
      <c r="Y5" s="24"/>
      <c r="Z5" s="24"/>
      <c r="AA5" s="24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2">
      <c r="F6" s="16"/>
      <c r="I6" s="17"/>
      <c r="J6" s="17"/>
      <c r="R6" s="21"/>
      <c r="S6" s="21"/>
      <c r="T6" s="21"/>
      <c r="U6" s="21"/>
      <c r="W6" s="22"/>
      <c r="X6" s="24"/>
      <c r="Y6" s="24"/>
      <c r="Z6" s="24"/>
      <c r="AA6" s="24"/>
      <c r="AT6" s="5"/>
    </row>
    <row r="7" spans="1:46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[3]Main!$C$6*$F$54</f>
        <v>49.302</v>
      </c>
      <c r="G7" s="17">
        <f>[3]Main!$C$7</f>
        <v>183.692564</v>
      </c>
      <c r="H7" s="17">
        <f>[3]Main!$C$8*$F$54</f>
        <v>9056.4107903280001</v>
      </c>
      <c r="I7" s="17">
        <f>[3]Main!$C$11*F54</f>
        <v>2653.2759399999995</v>
      </c>
      <c r="J7" s="17">
        <f>[3]Main!$C$12*F54</f>
        <v>6403.1348503280005</v>
      </c>
      <c r="K7" s="5" t="str">
        <f>[3]Main!$C$28</f>
        <v>Q322</v>
      </c>
      <c r="L7" s="8">
        <f>[3]Main!$D$28</f>
        <v>37926</v>
      </c>
      <c r="M7" s="27">
        <f>'[3]Financial Model'!$AP$29*F54</f>
        <v>44.04672492398587</v>
      </c>
      <c r="N7" s="32">
        <f>'[3]Financial Model'!$AP$31</f>
        <v>-0.10659354744258087</v>
      </c>
      <c r="O7" s="32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2"/>
      <c r="X7" s="24">
        <f>'[3]Financial Model'!$AB$17*$F$54</f>
        <v>-788.41700000000003</v>
      </c>
      <c r="Y7" s="24">
        <f>'[3]Financial Model'!$AA$17*$F$54</f>
        <v>-407.51256999999981</v>
      </c>
      <c r="Z7" s="24">
        <f>'[3]Financial Model'!$Z$17*$F$54</f>
        <v>-254.86228999999994</v>
      </c>
      <c r="AA7" s="24">
        <f>'[3]Financial Model'!$Y$17*F54</f>
        <v>-101.21767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18">
        <f>'[3]Financial Model'!$U$21</f>
        <v>0.32810304576208882</v>
      </c>
      <c r="AJ7" s="18">
        <f>'[3]Financial Model'!$AB$21</f>
        <v>0.613053532344634</v>
      </c>
      <c r="AK7" s="18">
        <f>'[3]Financial Model'!$AA$21</f>
        <v>0.55295345483521796</v>
      </c>
      <c r="AL7" s="18">
        <f>'[3]Financial Model'!$Z$21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2">
      <c r="B8" s="7"/>
      <c r="F8" s="16"/>
      <c r="G8" s="17"/>
      <c r="H8" s="17"/>
      <c r="I8" s="17"/>
      <c r="J8" s="17"/>
      <c r="L8" s="8"/>
      <c r="N8" s="31"/>
      <c r="O8" s="31"/>
      <c r="P8" s="8"/>
      <c r="Q8" s="8"/>
      <c r="R8" s="21"/>
      <c r="S8" s="21"/>
      <c r="T8" s="21"/>
      <c r="U8" s="21"/>
      <c r="V8" s="8"/>
      <c r="W8" s="22"/>
      <c r="X8" s="24"/>
      <c r="Y8" s="24"/>
      <c r="Z8" s="24"/>
      <c r="AA8" s="24"/>
      <c r="AC8" s="18"/>
      <c r="AD8" s="18"/>
      <c r="AE8" s="18"/>
      <c r="AF8" s="18"/>
      <c r="AT8" s="5"/>
    </row>
    <row r="9" spans="1:46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2"/>
      <c r="X9" s="24"/>
      <c r="Y9" s="24"/>
      <c r="Z9" s="24"/>
      <c r="AA9" s="24"/>
      <c r="AS9" s="5" t="s">
        <v>15</v>
      </c>
      <c r="AT9" s="5" t="s">
        <v>44</v>
      </c>
    </row>
    <row r="10" spans="1:46" x14ac:dyDescent="0.2">
      <c r="B10" s="1" t="s">
        <v>41</v>
      </c>
      <c r="C10" s="6" t="s">
        <v>42</v>
      </c>
      <c r="E10" s="5" t="s">
        <v>17</v>
      </c>
      <c r="W10" s="22"/>
      <c r="X10" s="24"/>
      <c r="Y10" s="24"/>
      <c r="Z10" s="24"/>
      <c r="AA10" s="24"/>
      <c r="AS10" s="5" t="s">
        <v>15</v>
      </c>
      <c r="AT10" s="5" t="s">
        <v>45</v>
      </c>
    </row>
    <row r="11" spans="1:46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7">
        <f>'[4]Financial Model'!$AH$22</f>
        <v>6.3308923646501336</v>
      </c>
      <c r="N11" s="32">
        <f>'[4]Financial Model'!$AH$24</f>
        <v>-0.14975928489791379</v>
      </c>
      <c r="O11" s="32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4">
        <f>'[4]Financial Model'!$V$13</f>
        <v>254</v>
      </c>
      <c r="X11" s="24">
        <f>'[4]Financial Model'!$U$13</f>
        <v>285</v>
      </c>
      <c r="Y11" s="24">
        <f>'[4]Financial Model'!$T$13</f>
        <v>310</v>
      </c>
      <c r="Z11" s="24">
        <f>'[4]Financial Model'!$S$13</f>
        <v>266</v>
      </c>
      <c r="AA11" s="24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2">
      <c r="B12" s="7"/>
      <c r="F12" s="16"/>
      <c r="AT12" s="5"/>
    </row>
    <row r="13" spans="1:46" x14ac:dyDescent="0.2">
      <c r="B13" s="1" t="s">
        <v>76</v>
      </c>
      <c r="C13" s="6" t="s">
        <v>77</v>
      </c>
      <c r="D13" s="5" t="s">
        <v>33</v>
      </c>
      <c r="E13" s="5" t="s">
        <v>17</v>
      </c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5" spans="1:46" x14ac:dyDescent="0.2">
      <c r="B15" s="1" t="s">
        <v>48</v>
      </c>
      <c r="C15" s="6" t="s">
        <v>49</v>
      </c>
      <c r="D15" s="5" t="s">
        <v>30</v>
      </c>
      <c r="E15" s="5" t="s">
        <v>17</v>
      </c>
      <c r="AS15" s="5" t="s">
        <v>50</v>
      </c>
      <c r="AT15" s="5" t="s">
        <v>51</v>
      </c>
    </row>
    <row r="16" spans="1:46" x14ac:dyDescent="0.2">
      <c r="B16" s="1" t="s">
        <v>63</v>
      </c>
      <c r="C16" s="6" t="s">
        <v>64</v>
      </c>
      <c r="D16" s="5" t="s">
        <v>33</v>
      </c>
      <c r="E16" s="5" t="s">
        <v>17</v>
      </c>
      <c r="AS16" s="5" t="s">
        <v>50</v>
      </c>
      <c r="AT16" s="5" t="s">
        <v>65</v>
      </c>
    </row>
    <row r="19" spans="2:46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[5]Main!$C$6*F54</f>
        <v>30.8843</v>
      </c>
      <c r="G19" s="17">
        <f>[5]Main!$C$7</f>
        <v>597.779</v>
      </c>
      <c r="H19" s="17">
        <f>[5]Main!$C$8*F54</f>
        <v>18461.985969699999</v>
      </c>
      <c r="I19" s="17">
        <f>[5]Main!$C$11*F54</f>
        <v>1687.26052</v>
      </c>
      <c r="J19" s="17">
        <f>[5]Main!$C$12*F54</f>
        <v>16774.725449699999</v>
      </c>
      <c r="K19" s="5" t="str">
        <f>[5]Main!$G$11</f>
        <v>Q322</v>
      </c>
      <c r="L19" s="5">
        <f>[5]Main!$H$11</f>
        <v>0</v>
      </c>
      <c r="M19" s="27">
        <f>'[5]Financial Model'!$AP$26*F54</f>
        <v>54.922264928153325</v>
      </c>
      <c r="N19" s="32">
        <f>'[5]Financial Model'!$AP$28</f>
        <v>0.77832312625357636</v>
      </c>
      <c r="O19" s="32">
        <f>'[5]Financial Model'!$AP$22</f>
        <v>0.09</v>
      </c>
      <c r="Q19" s="21">
        <f>[5]Main!$G$16</f>
        <v>52.387601721181568</v>
      </c>
      <c r="R19" s="21">
        <f>[5]Main!$G$17</f>
        <v>11.590025427513091</v>
      </c>
      <c r="X19" s="25">
        <f>'[5]Financial Model'!$W$18*F54</f>
        <v>-417.89669999999995</v>
      </c>
      <c r="Y19" s="25">
        <f>'[5]Financial Model'!$V$18*F54</f>
        <v>-216.47727999999992</v>
      </c>
      <c r="Z19" s="23" t="s">
        <v>139</v>
      </c>
      <c r="AA19" s="23" t="s">
        <v>139</v>
      </c>
      <c r="AC19" s="18">
        <f>'[5]Financial Model'!$M$22</f>
        <v>0.75577498469211346</v>
      </c>
      <c r="AD19" s="18">
        <f>'[5]Financial Model'!$M$23</f>
        <v>-0.5794918747476856</v>
      </c>
      <c r="AE19" s="18">
        <f>'[5]Financial Model'!$M$24</f>
        <v>-0.5831522463478378</v>
      </c>
      <c r="AF19" s="18">
        <f>'[5]Financial Model'!$M$25</f>
        <v>-1.1673022715967497E-3</v>
      </c>
      <c r="AH19" s="18">
        <f>'[5]Financial Model'!$M$28</f>
        <v>1.6435123376317362E-2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[6]Main!$C$6*F54</f>
        <v>27.7469</v>
      </c>
      <c r="G20" s="17">
        <f>[6]Main!$C$7</f>
        <v>296.01300300000003</v>
      </c>
      <c r="H20" s="17">
        <f>[6]Main!$C$8*F54</f>
        <v>8213.4431929407001</v>
      </c>
      <c r="I20" s="19">
        <f>[6]Main!$C$11*F54</f>
        <v>-436.42229999999995</v>
      </c>
      <c r="J20" s="17">
        <f>[6]Main!$C$12*F54</f>
        <v>8649.8654929407003</v>
      </c>
      <c r="K20" s="26" t="str">
        <f>[6]Main!$C$26</f>
        <v>Q122</v>
      </c>
      <c r="L20" s="26">
        <f>[6]Main!$D$26</f>
        <v>0</v>
      </c>
      <c r="AS20" s="5" t="s">
        <v>60</v>
      </c>
      <c r="AT20" s="5" t="s">
        <v>61</v>
      </c>
    </row>
    <row r="22" spans="2:46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[7]Main!$C$6*$F$54</f>
        <v>43.931899999999999</v>
      </c>
      <c r="G22" s="17">
        <f>[7]Main!$C$7</f>
        <v>1269.4252260000001</v>
      </c>
      <c r="H22" s="17">
        <f>[7]Main!$C$8*F54</f>
        <v>55768.262086109396</v>
      </c>
      <c r="I22" s="17">
        <f>[7]Main!$C$11*F54</f>
        <v>3343.8276399999995</v>
      </c>
      <c r="J22" s="17">
        <f>[7]Main!$C$12*F54</f>
        <v>52424.434446109401</v>
      </c>
      <c r="K22" s="5" t="str">
        <f>[7]Main!$C$28</f>
        <v>Q322</v>
      </c>
      <c r="L22" s="8">
        <f>[7]Main!$D$28</f>
        <v>46661</v>
      </c>
      <c r="M22" s="27">
        <f>'[7]Financial Model'!$AP$28</f>
        <v>26.075206575494708</v>
      </c>
      <c r="N22" s="32">
        <f>'[7]Financial Model'!$AP$30</f>
        <v>-0.50736431937474569</v>
      </c>
      <c r="O22" s="32">
        <f>'[7]Financial Model'!$AP$24</f>
        <v>7.0000000000000007E-2</v>
      </c>
      <c r="Q22" s="21">
        <f>[7]Main!$C$33</f>
        <v>7.729278198315245</v>
      </c>
      <c r="R22" s="21">
        <f>[7]Main!$C$34</f>
        <v>12.810644455706582</v>
      </c>
      <c r="S22" s="21">
        <f>[7]Main!$C$35</f>
        <v>12.042526794965024</v>
      </c>
      <c r="T22" s="21">
        <f>[7]Main!$C$36</f>
        <v>-3.3644129896469788</v>
      </c>
      <c r="U22" s="21">
        <f>[7]Main!$C$37</f>
        <v>-19.688678338041829</v>
      </c>
      <c r="X22" s="25">
        <f>'[7]Financial Model'!$AB$20*F54</f>
        <v>2419.1669699999998</v>
      </c>
      <c r="AC22" s="18">
        <f>'[7]Financial Model'!$U$29</f>
        <v>0.48479871175523354</v>
      </c>
      <c r="AD22" s="18">
        <f>'[7]Financial Model'!$U$32</f>
        <v>-0.2527931488801054</v>
      </c>
      <c r="AE22" s="18">
        <f>'[7]Financial Model'!$U$33</f>
        <v>-0.11594861660079051</v>
      </c>
      <c r="AF22" s="18">
        <f>'[7]Financial Model'!$U$34</f>
        <v>-8.1205093774064027E-3</v>
      </c>
      <c r="AH22" s="18">
        <f>'[7]Financial Model'!$U$24</f>
        <v>0.2157616530514177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[8]Main!$C$6*F54</f>
        <v>41.085000000000001</v>
      </c>
      <c r="G23" s="19">
        <f>[8]Main!$C$7</f>
        <v>542.659087</v>
      </c>
      <c r="H23" s="17">
        <f>[8]Main!$C$8*F54</f>
        <v>22295.148589394998</v>
      </c>
      <c r="I23" s="17">
        <f>[8]Main!$C$11*F54</f>
        <v>-3515.0499999999997</v>
      </c>
      <c r="J23" s="17">
        <f>[8]Main!$C$12*F54</f>
        <v>25810.198589395</v>
      </c>
      <c r="K23" s="5" t="str">
        <f>[8]Main!$C$28</f>
        <v>Q322</v>
      </c>
      <c r="L23" s="8">
        <f>[8]Main!$D$28</f>
        <v>37561</v>
      </c>
      <c r="M23" s="27">
        <f>'[8]Financial Model'!$AW$29*$F$54</f>
        <v>47.543323554437464</v>
      </c>
      <c r="N23" s="32">
        <f>'[8]Financial Model'!$AW$31</f>
        <v>0.15719419628666098</v>
      </c>
      <c r="O23" s="32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8"/>
      <c r="X23" s="25">
        <f>'[8]Financial Model'!$AE$20*F54</f>
        <v>-1118.01</v>
      </c>
      <c r="Y23" s="25">
        <f>'[8]Financial Model'!$AD$20*F54</f>
        <v>6030.78</v>
      </c>
      <c r="Z23" s="25">
        <f>'[8]Financial Model'!$AC$20*F54</f>
        <v>1431.75</v>
      </c>
      <c r="AA23" s="25">
        <f>'[8]Financial Model'!$AC$20*G54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2">
      <c r="B24" s="1" t="s">
        <v>83</v>
      </c>
      <c r="C24" s="6" t="s">
        <v>138</v>
      </c>
      <c r="D24" s="5" t="s">
        <v>33</v>
      </c>
      <c r="E24" s="5" t="s">
        <v>17</v>
      </c>
      <c r="AS24" s="5" t="s">
        <v>84</v>
      </c>
      <c r="AT24" s="5" t="s">
        <v>118</v>
      </c>
    </row>
    <row r="25" spans="2:46" x14ac:dyDescent="0.2">
      <c r="B25" s="1" t="s">
        <v>89</v>
      </c>
      <c r="C25" s="6" t="s">
        <v>90</v>
      </c>
      <c r="D25" s="5" t="s">
        <v>33</v>
      </c>
      <c r="E25" s="5" t="s">
        <v>17</v>
      </c>
      <c r="AS25" s="5" t="s">
        <v>84</v>
      </c>
      <c r="AT25" s="5"/>
    </row>
    <row r="26" spans="2:46" x14ac:dyDescent="0.2">
      <c r="B26" s="1" t="s">
        <v>91</v>
      </c>
      <c r="C26" s="6" t="s">
        <v>92</v>
      </c>
      <c r="D26" s="5" t="s">
        <v>30</v>
      </c>
      <c r="AS26" s="5" t="s">
        <v>84</v>
      </c>
      <c r="AT26" s="5"/>
    </row>
    <row r="27" spans="2:46" x14ac:dyDescent="0.2">
      <c r="B27" s="1" t="s">
        <v>93</v>
      </c>
      <c r="C27" s="6" t="s">
        <v>94</v>
      </c>
      <c r="D27" s="5" t="s">
        <v>33</v>
      </c>
      <c r="AT27" s="5"/>
    </row>
    <row r="30" spans="2:46" x14ac:dyDescent="0.2">
      <c r="B30" s="1" t="s">
        <v>66</v>
      </c>
      <c r="C30" s="6" t="s">
        <v>67</v>
      </c>
      <c r="D30" s="5" t="s">
        <v>31</v>
      </c>
      <c r="E30" s="5" t="s">
        <v>16</v>
      </c>
      <c r="AS30" s="5" t="s">
        <v>70</v>
      </c>
    </row>
    <row r="31" spans="2:46" x14ac:dyDescent="0.2">
      <c r="B31" s="1" t="s">
        <v>68</v>
      </c>
      <c r="C31" s="6" t="s">
        <v>69</v>
      </c>
      <c r="D31" s="5" t="s">
        <v>33</v>
      </c>
      <c r="E31" s="5" t="s">
        <v>17</v>
      </c>
      <c r="AS31" s="5" t="s">
        <v>70</v>
      </c>
    </row>
    <row r="34" spans="2:46" x14ac:dyDescent="0.2">
      <c r="B34" s="1" t="s">
        <v>106</v>
      </c>
      <c r="C34" s="6" t="s">
        <v>107</v>
      </c>
      <c r="D34" s="5" t="s">
        <v>30</v>
      </c>
      <c r="AS34" s="5" t="s">
        <v>84</v>
      </c>
      <c r="AT34" s="5" t="s">
        <v>112</v>
      </c>
    </row>
    <row r="35" spans="2:46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AS35" s="5" t="s">
        <v>84</v>
      </c>
      <c r="AT35" s="5" t="s">
        <v>112</v>
      </c>
    </row>
    <row r="36" spans="2:46" x14ac:dyDescent="0.2">
      <c r="B36" s="1" t="s">
        <v>110</v>
      </c>
      <c r="C36" s="6" t="s">
        <v>111</v>
      </c>
      <c r="D36" s="5" t="s">
        <v>30</v>
      </c>
      <c r="AS36" s="5" t="s">
        <v>84</v>
      </c>
      <c r="AT36" s="5" t="s">
        <v>112</v>
      </c>
    </row>
    <row r="39" spans="2:46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2">
      <c r="G40" s="19"/>
      <c r="H40" s="17"/>
      <c r="AT40" s="5"/>
    </row>
    <row r="41" spans="2:46" x14ac:dyDescent="0.2">
      <c r="G41" s="19"/>
      <c r="H41" s="17"/>
      <c r="AT41" s="5"/>
    </row>
    <row r="42" spans="2:46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332.82*F54</f>
        <v>276.24059999999997</v>
      </c>
      <c r="G42" s="19">
        <v>445.02</v>
      </c>
      <c r="H42" s="17">
        <f>G42*F42</f>
        <v>122932.59181199998</v>
      </c>
      <c r="AS42" s="5" t="s">
        <v>126</v>
      </c>
      <c r="AT42" s="5" t="s">
        <v>124</v>
      </c>
    </row>
    <row r="43" spans="2:46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92.06*F54</f>
        <v>76.409800000000004</v>
      </c>
      <c r="G43" s="19">
        <v>193.13</v>
      </c>
      <c r="H43" s="17">
        <f>G43*F43</f>
        <v>14757.024674</v>
      </c>
      <c r="AS43" s="5" t="s">
        <v>126</v>
      </c>
      <c r="AT43" s="5" t="s">
        <v>125</v>
      </c>
    </row>
    <row r="44" spans="2:46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AS44" s="5" t="s">
        <v>136</v>
      </c>
      <c r="AT44" s="5" t="s">
        <v>137</v>
      </c>
    </row>
    <row r="45" spans="2:46" x14ac:dyDescent="0.2">
      <c r="G45" s="19"/>
      <c r="H45" s="17"/>
      <c r="AT45" s="5"/>
    </row>
    <row r="46" spans="2:46" x14ac:dyDescent="0.2">
      <c r="B46" s="1" t="s">
        <v>130</v>
      </c>
      <c r="C46" s="6" t="s">
        <v>128</v>
      </c>
      <c r="G46" s="19"/>
      <c r="H46" s="17"/>
      <c r="AT46" s="5"/>
    </row>
    <row r="47" spans="2:46" x14ac:dyDescent="0.2">
      <c r="B47" s="1" t="s">
        <v>131</v>
      </c>
      <c r="C47" s="6" t="s">
        <v>127</v>
      </c>
      <c r="G47" s="19"/>
      <c r="H47" s="17"/>
      <c r="AT47" s="5"/>
    </row>
    <row r="48" spans="2:46" x14ac:dyDescent="0.2">
      <c r="B48" s="1" t="s">
        <v>132</v>
      </c>
      <c r="C48" s="6" t="s">
        <v>129</v>
      </c>
      <c r="G48" s="19"/>
      <c r="H48" s="17"/>
      <c r="AT48" s="5"/>
    </row>
    <row r="49" spans="5:46" x14ac:dyDescent="0.2">
      <c r="G49" s="19"/>
      <c r="H49" s="17"/>
      <c r="AT49" s="5"/>
    </row>
    <row r="53" spans="5:46" x14ac:dyDescent="0.2">
      <c r="E53" s="33" t="s">
        <v>25</v>
      </c>
      <c r="F53" s="34"/>
      <c r="G53" s="9" t="s">
        <v>26</v>
      </c>
    </row>
    <row r="54" spans="5:46" x14ac:dyDescent="0.2">
      <c r="E54" s="10" t="s">
        <v>27</v>
      </c>
      <c r="F54" s="11">
        <v>0.83</v>
      </c>
      <c r="G54" s="12">
        <f>1/F54</f>
        <v>1.2048192771084338</v>
      </c>
    </row>
    <row r="55" spans="5:46" x14ac:dyDescent="0.2">
      <c r="E55" s="13" t="s">
        <v>28</v>
      </c>
      <c r="F55" s="14">
        <v>0.87</v>
      </c>
      <c r="G55" s="15">
        <f>1/F55</f>
        <v>1.1494252873563218</v>
      </c>
    </row>
  </sheetData>
  <mergeCells count="3">
    <mergeCell ref="E53:F53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</hyperlinks>
  <pageMargins left="0.7" right="0.7" top="0.75" bottom="0.75" header="0.3" footer="0.3"/>
  <pageSetup paperSize="256" orientation="portrait" horizontalDpi="203" verticalDpi="20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2023-02-05T13:48:19Z</dcterms:modified>
</cp:coreProperties>
</file>