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5602D85D-E87A-4A05-82BC-AD45D4BA84C0}" xr6:coauthVersionLast="36" xr6:coauthVersionMax="36" xr10:uidLastSave="{00000000-0000-0000-0000-000000000000}"/>
  <bookViews>
    <workbookView xWindow="0" yWindow="0" windowWidth="21570" windowHeight="10500" activeTab="1" xr2:uid="{BFBD9EDE-FC47-49BF-96FE-182E73BB21C3}"/>
  </bookViews>
  <sheets>
    <sheet name="Main" sheetId="1" r:id="rId1"/>
    <sheet name="Financial Model" sheetId="2" r:id="rId2"/>
    <sheet name="Order &amp; Back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5" i="2" l="1"/>
  <c r="Z55" i="2"/>
  <c r="AB55" i="2"/>
  <c r="Z50" i="2" l="1"/>
  <c r="Y50" i="2"/>
  <c r="Z42" i="2"/>
  <c r="Y42" i="2"/>
  <c r="K126" i="2"/>
  <c r="AA30" i="2"/>
  <c r="Z30" i="2"/>
  <c r="Z37" i="2"/>
  <c r="Y37" i="2"/>
  <c r="Z36" i="2"/>
  <c r="Y36" i="2"/>
  <c r="Z35" i="2"/>
  <c r="Y35" i="2"/>
  <c r="Z34" i="2"/>
  <c r="Y34" i="2"/>
  <c r="Y26" i="2"/>
  <c r="Z26" i="2"/>
  <c r="Z18" i="2"/>
  <c r="Z21" i="2" s="1"/>
  <c r="Z23" i="2" s="1"/>
  <c r="Z11" i="2"/>
  <c r="Y11" i="2"/>
  <c r="Y18" i="2" s="1"/>
  <c r="Y21" i="2" s="1"/>
  <c r="Y23" i="2" s="1"/>
  <c r="F119" i="2"/>
  <c r="F120" i="2" s="1"/>
  <c r="H30" i="2"/>
  <c r="G30" i="2"/>
  <c r="J30" i="2"/>
  <c r="G31" i="2"/>
  <c r="F31" i="2"/>
  <c r="F37" i="2"/>
  <c r="F36" i="2"/>
  <c r="F35" i="2"/>
  <c r="F34" i="2"/>
  <c r="F26" i="2"/>
  <c r="F11" i="2"/>
  <c r="F18" i="2" s="1"/>
  <c r="F21" i="2" s="1"/>
  <c r="F23" i="2" s="1"/>
  <c r="G56" i="2"/>
  <c r="F56" i="2"/>
  <c r="F50" i="2"/>
  <c r="F42" i="2"/>
  <c r="F41" i="2" s="1"/>
  <c r="J55" i="2" s="1"/>
  <c r="D56" i="2"/>
  <c r="S56" i="2"/>
  <c r="R56" i="2"/>
  <c r="Q56" i="2"/>
  <c r="P56" i="2"/>
  <c r="O56" i="2"/>
  <c r="N56" i="2"/>
  <c r="M56" i="2"/>
  <c r="L56" i="2"/>
  <c r="K56" i="2"/>
  <c r="J56" i="2"/>
  <c r="I56" i="2"/>
  <c r="H56" i="2"/>
  <c r="T56" i="2"/>
  <c r="G55" i="2"/>
  <c r="S55" i="2"/>
  <c r="R55" i="2"/>
  <c r="Q55" i="2"/>
  <c r="P55" i="2"/>
  <c r="O55" i="2"/>
  <c r="N55" i="2"/>
  <c r="M55" i="2"/>
  <c r="L55" i="2"/>
  <c r="K55" i="2"/>
  <c r="H55" i="2"/>
  <c r="T55" i="2"/>
  <c r="J126" i="2"/>
  <c r="F123" i="2"/>
  <c r="F122" i="2"/>
  <c r="F124" i="2" s="1"/>
  <c r="F117" i="2"/>
  <c r="F114" i="2"/>
  <c r="F102" i="2"/>
  <c r="F85" i="2"/>
  <c r="F71" i="2"/>
  <c r="C37" i="2"/>
  <c r="C36" i="2"/>
  <c r="C35" i="2"/>
  <c r="C34" i="2"/>
  <c r="C26" i="2"/>
  <c r="C23" i="2"/>
  <c r="C21" i="2"/>
  <c r="C11" i="2"/>
  <c r="C18" i="2" s="1"/>
  <c r="C50" i="2"/>
  <c r="C42" i="2"/>
  <c r="Y41" i="2" l="1"/>
  <c r="Z41" i="2"/>
  <c r="C41" i="2"/>
  <c r="M137" i="2"/>
  <c r="L137" i="2"/>
  <c r="M136" i="2"/>
  <c r="L136" i="2"/>
  <c r="I135" i="2"/>
  <c r="H135" i="2"/>
  <c r="I132" i="2"/>
  <c r="I133" i="2" s="1"/>
  <c r="H132" i="2"/>
  <c r="H133" i="2" s="1"/>
  <c r="M126" i="2"/>
  <c r="L126" i="2"/>
  <c r="J127" i="2"/>
  <c r="I127" i="2"/>
  <c r="I123" i="2"/>
  <c r="H123" i="2"/>
  <c r="I122" i="2"/>
  <c r="I124" i="2" s="1"/>
  <c r="H122" i="2"/>
  <c r="H124" i="2" s="1"/>
  <c r="I119" i="2"/>
  <c r="I120" i="2" s="1"/>
  <c r="H119" i="2"/>
  <c r="H120" i="2" s="1"/>
  <c r="I117" i="2"/>
  <c r="H117" i="2"/>
  <c r="H114" i="2"/>
  <c r="I114" i="2"/>
  <c r="H102" i="2"/>
  <c r="I102" i="2"/>
  <c r="H85" i="2"/>
  <c r="H71" i="2"/>
  <c r="I85" i="2"/>
  <c r="I71" i="2"/>
  <c r="E37" i="2"/>
  <c r="E36" i="2"/>
  <c r="E35" i="2"/>
  <c r="E34" i="2"/>
  <c r="E26" i="2"/>
  <c r="E23" i="2"/>
  <c r="E21" i="2"/>
  <c r="E11" i="2"/>
  <c r="E18" i="2" s="1"/>
  <c r="I30" i="2"/>
  <c r="M30" i="2"/>
  <c r="J31" i="2"/>
  <c r="I31" i="2"/>
  <c r="I37" i="2"/>
  <c r="I36" i="2"/>
  <c r="I35" i="2"/>
  <c r="I34" i="2"/>
  <c r="I26" i="2"/>
  <c r="I23" i="2"/>
  <c r="I21" i="2"/>
  <c r="I18" i="2"/>
  <c r="I11" i="2"/>
  <c r="E42" i="2"/>
  <c r="E50" i="2"/>
  <c r="D50" i="2"/>
  <c r="G50" i="2"/>
  <c r="G42" i="2"/>
  <c r="AB42" i="2"/>
  <c r="AA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D42" i="2"/>
  <c r="I50" i="2"/>
  <c r="E41" i="2" l="1"/>
  <c r="D41" i="2"/>
  <c r="G41" i="2"/>
  <c r="I41" i="2"/>
  <c r="K135" i="2"/>
  <c r="K132" i="2"/>
  <c r="K133" i="2" s="1"/>
  <c r="J132" i="2"/>
  <c r="J133" i="2" s="1"/>
  <c r="N137" i="2"/>
  <c r="N136" i="2"/>
  <c r="O126" i="2"/>
  <c r="N126" i="2"/>
  <c r="L127" i="2"/>
  <c r="K127" i="2"/>
  <c r="K124" i="2"/>
  <c r="K123" i="2"/>
  <c r="J123" i="2"/>
  <c r="J124" i="2" s="1"/>
  <c r="K122" i="2"/>
  <c r="J122" i="2"/>
  <c r="K119" i="2"/>
  <c r="K120" i="2" s="1"/>
  <c r="J119" i="2"/>
  <c r="J120" i="2" s="1"/>
  <c r="J135" i="2" s="1"/>
  <c r="K117" i="2"/>
  <c r="J117" i="2"/>
  <c r="J114" i="2"/>
  <c r="K114" i="2"/>
  <c r="J102" i="2"/>
  <c r="K102" i="2"/>
  <c r="J85" i="2"/>
  <c r="J71" i="2"/>
  <c r="K85" i="2"/>
  <c r="K71" i="2"/>
  <c r="E56" i="2" l="1"/>
  <c r="I55" i="2"/>
  <c r="K30" i="2"/>
  <c r="H31" i="2"/>
  <c r="G37" i="2"/>
  <c r="G36" i="2"/>
  <c r="G35" i="2"/>
  <c r="G34" i="2"/>
  <c r="G26" i="2"/>
  <c r="G23" i="2"/>
  <c r="G21" i="2"/>
  <c r="G18" i="2"/>
  <c r="G11" i="2"/>
  <c r="N30" i="2"/>
  <c r="K31" i="2"/>
  <c r="J37" i="2"/>
  <c r="J36" i="2"/>
  <c r="J35" i="2"/>
  <c r="J34" i="2"/>
  <c r="J26" i="2"/>
  <c r="J23" i="2"/>
  <c r="J21" i="2"/>
  <c r="J18" i="2"/>
  <c r="J11" i="2"/>
  <c r="O30" i="2"/>
  <c r="L31" i="2"/>
  <c r="K37" i="2"/>
  <c r="K36" i="2"/>
  <c r="K35" i="2"/>
  <c r="K34" i="2"/>
  <c r="K26" i="2"/>
  <c r="K23" i="2"/>
  <c r="K21" i="2"/>
  <c r="K18" i="2"/>
  <c r="K11" i="2"/>
  <c r="J50" i="2"/>
  <c r="J41" i="2"/>
  <c r="T37" i="2"/>
  <c r="L37" i="2"/>
  <c r="M37" i="2"/>
  <c r="N37" i="2"/>
  <c r="O37" i="2"/>
  <c r="P37" i="2"/>
  <c r="Q37" i="2"/>
  <c r="R37" i="2"/>
  <c r="S37" i="2"/>
  <c r="H37" i="2"/>
  <c r="AA129" i="2" l="1"/>
  <c r="AB129" i="2"/>
  <c r="S129" i="2"/>
  <c r="R129" i="2"/>
  <c r="Q129" i="2"/>
  <c r="P129" i="2"/>
  <c r="T129" i="2"/>
  <c r="O137" i="2"/>
  <c r="O136" i="2"/>
  <c r="M135" i="2"/>
  <c r="S126" i="2"/>
  <c r="Q126" i="2"/>
  <c r="N127" i="2"/>
  <c r="M127" i="2"/>
  <c r="M123" i="2"/>
  <c r="M122" i="2"/>
  <c r="M124" i="2" s="1"/>
  <c r="M119" i="2"/>
  <c r="M120" i="2" s="1"/>
  <c r="M117" i="2"/>
  <c r="M114" i="2"/>
  <c r="M102" i="2"/>
  <c r="M85" i="2"/>
  <c r="M71" i="2"/>
  <c r="M50" i="2"/>
  <c r="O135" i="2"/>
  <c r="P127" i="2"/>
  <c r="O127" i="2"/>
  <c r="O123" i="2"/>
  <c r="O122" i="2"/>
  <c r="O124" i="2" s="1"/>
  <c r="O119" i="2"/>
  <c r="O120" i="2" s="1"/>
  <c r="O117" i="2"/>
  <c r="O114" i="2"/>
  <c r="O102" i="2"/>
  <c r="O85" i="2"/>
  <c r="O71" i="2"/>
  <c r="K50" i="2"/>
  <c r="O50" i="2"/>
  <c r="L132" i="2"/>
  <c r="P126" i="2"/>
  <c r="AB123" i="2"/>
  <c r="AA123" i="2"/>
  <c r="T123" i="2"/>
  <c r="S123" i="2"/>
  <c r="R123" i="2"/>
  <c r="Q123" i="2"/>
  <c r="P123" i="2"/>
  <c r="N123" i="2"/>
  <c r="L123" i="2"/>
  <c r="L122" i="2"/>
  <c r="L119" i="2"/>
  <c r="L120" i="2" s="1"/>
  <c r="L135" i="2" s="1"/>
  <c r="L117" i="2"/>
  <c r="AB105" i="2"/>
  <c r="AA105" i="2"/>
  <c r="L114" i="2"/>
  <c r="L102" i="2"/>
  <c r="AB91" i="2"/>
  <c r="AA91" i="2"/>
  <c r="L85" i="2"/>
  <c r="AB75" i="2"/>
  <c r="AA75" i="2"/>
  <c r="AB64" i="2"/>
  <c r="AA64" i="2"/>
  <c r="L71" i="2"/>
  <c r="L50" i="2"/>
  <c r="H50" i="2"/>
  <c r="H41" i="2" s="1"/>
  <c r="L30" i="2"/>
  <c r="P30" i="2"/>
  <c r="M31" i="2"/>
  <c r="L26" i="2"/>
  <c r="L11" i="2"/>
  <c r="L34" i="2" s="1"/>
  <c r="H26" i="2"/>
  <c r="H11" i="2"/>
  <c r="H34" i="2" s="1"/>
  <c r="M41" i="2" l="1"/>
  <c r="K41" i="2"/>
  <c r="O41" i="2"/>
  <c r="L124" i="2"/>
  <c r="L133" i="2" s="1"/>
  <c r="L18" i="2"/>
  <c r="H18" i="2"/>
  <c r="L41" i="2"/>
  <c r="C34" i="1"/>
  <c r="P136" i="2"/>
  <c r="S136" i="2"/>
  <c r="R136" i="2"/>
  <c r="Q136" i="2"/>
  <c r="T136" i="2"/>
  <c r="AA131" i="2"/>
  <c r="AA137" i="2" s="1"/>
  <c r="AA116" i="2"/>
  <c r="AA104" i="2"/>
  <c r="AA113" i="2"/>
  <c r="AA112" i="2"/>
  <c r="AA111" i="2"/>
  <c r="AA110" i="2"/>
  <c r="AA109" i="2"/>
  <c r="AA108" i="2"/>
  <c r="AA107" i="2"/>
  <c r="AA106" i="2"/>
  <c r="AA103" i="2"/>
  <c r="AA94" i="2"/>
  <c r="AA90" i="2"/>
  <c r="AA101" i="2"/>
  <c r="AA100" i="2"/>
  <c r="AA99" i="2"/>
  <c r="AA98" i="2"/>
  <c r="AA97" i="2"/>
  <c r="AA96" i="2"/>
  <c r="AA95" i="2"/>
  <c r="AA93" i="2"/>
  <c r="AA92" i="2"/>
  <c r="AA89" i="2"/>
  <c r="AA88" i="2"/>
  <c r="AA87" i="2"/>
  <c r="AA102" i="2" s="1"/>
  <c r="AA114" i="2" s="1"/>
  <c r="AB131" i="2"/>
  <c r="AB137" i="2" s="1"/>
  <c r="AB122" i="2"/>
  <c r="AB116" i="2"/>
  <c r="AB113" i="2"/>
  <c r="AB112" i="2"/>
  <c r="AB111" i="2"/>
  <c r="AB110" i="2"/>
  <c r="AB109" i="2"/>
  <c r="AB108" i="2"/>
  <c r="AB107" i="2"/>
  <c r="AB106" i="2"/>
  <c r="AB103" i="2"/>
  <c r="AB104" i="2"/>
  <c r="AB90" i="2"/>
  <c r="AB94" i="2"/>
  <c r="AB101" i="2"/>
  <c r="AB100" i="2"/>
  <c r="AB99" i="2"/>
  <c r="AB98" i="2"/>
  <c r="AB97" i="2"/>
  <c r="AB96" i="2"/>
  <c r="AB95" i="2"/>
  <c r="AB93" i="2"/>
  <c r="AB92" i="2"/>
  <c r="AB89" i="2"/>
  <c r="AB88" i="2"/>
  <c r="AB87" i="2"/>
  <c r="AA65" i="2"/>
  <c r="AA63" i="2"/>
  <c r="AA62" i="2"/>
  <c r="AA61" i="2"/>
  <c r="AA71" i="2" s="1"/>
  <c r="AA70" i="2"/>
  <c r="AA69" i="2"/>
  <c r="AA68" i="2"/>
  <c r="AA67" i="2"/>
  <c r="AA73" i="2"/>
  <c r="AA83" i="2"/>
  <c r="AA82" i="2"/>
  <c r="AA81" i="2"/>
  <c r="AA80" i="2"/>
  <c r="AA79" i="2"/>
  <c r="AA78" i="2"/>
  <c r="AA77" i="2"/>
  <c r="AA76" i="2"/>
  <c r="AA84" i="2"/>
  <c r="AA74" i="2"/>
  <c r="AA72" i="2"/>
  <c r="AA66" i="2"/>
  <c r="AA60" i="2"/>
  <c r="AA59" i="2"/>
  <c r="AA122" i="2" s="1"/>
  <c r="AB84" i="2"/>
  <c r="AB83" i="2"/>
  <c r="AB82" i="2"/>
  <c r="AB81" i="2"/>
  <c r="AB80" i="2"/>
  <c r="AB79" i="2"/>
  <c r="AB78" i="2"/>
  <c r="AB77" i="2"/>
  <c r="AB76" i="2"/>
  <c r="AB73" i="2"/>
  <c r="AB70" i="2"/>
  <c r="AB69" i="2"/>
  <c r="AB68" i="2"/>
  <c r="AB67" i="2"/>
  <c r="AB74" i="2"/>
  <c r="AB72" i="2"/>
  <c r="AB66" i="2"/>
  <c r="AB126" i="2" s="1"/>
  <c r="AB65" i="2"/>
  <c r="AB63" i="2"/>
  <c r="AB62" i="2"/>
  <c r="AB61" i="2"/>
  <c r="AB60" i="2"/>
  <c r="AB59" i="2"/>
  <c r="R126" i="2"/>
  <c r="S127" i="2"/>
  <c r="R127" i="2"/>
  <c r="R122" i="2"/>
  <c r="R124" i="2" s="1"/>
  <c r="N122" i="2"/>
  <c r="R102" i="2"/>
  <c r="R114" i="2" s="1"/>
  <c r="R117" i="2" s="1"/>
  <c r="N102" i="2"/>
  <c r="N114" i="2" s="1"/>
  <c r="N117" i="2" s="1"/>
  <c r="R85" i="2"/>
  <c r="Q122" i="2"/>
  <c r="P122" i="2"/>
  <c r="P124" i="2" s="1"/>
  <c r="S122" i="2"/>
  <c r="T122" i="2"/>
  <c r="R71" i="2"/>
  <c r="N71" i="2"/>
  <c r="N85" i="2" s="1"/>
  <c r="AB50" i="2"/>
  <c r="AA50" i="2"/>
  <c r="AA41" i="2"/>
  <c r="AA34" i="2"/>
  <c r="AB26" i="2"/>
  <c r="C35" i="1" s="1"/>
  <c r="AA26" i="2"/>
  <c r="AB21" i="2"/>
  <c r="AB37" i="2" s="1"/>
  <c r="AA18" i="2"/>
  <c r="AA21" i="2" s="1"/>
  <c r="AB18" i="2"/>
  <c r="AB35" i="2" s="1"/>
  <c r="AB30" i="2"/>
  <c r="AA11" i="2"/>
  <c r="AB11" i="2"/>
  <c r="AB34" i="2" s="1"/>
  <c r="O31" i="2"/>
  <c r="N31" i="2"/>
  <c r="R30" i="2"/>
  <c r="N34" i="2"/>
  <c r="N26" i="2"/>
  <c r="N11" i="2"/>
  <c r="N18" i="2" s="1"/>
  <c r="N50" i="2"/>
  <c r="N41" i="2" s="1"/>
  <c r="R50" i="2"/>
  <c r="T126" i="2"/>
  <c r="Q127" i="2"/>
  <c r="Q124" i="2"/>
  <c r="Q102" i="2"/>
  <c r="Q114" i="2" s="1"/>
  <c r="Q117" i="2" s="1"/>
  <c r="Q71" i="2"/>
  <c r="Q85" i="2" s="1"/>
  <c r="P71" i="2"/>
  <c r="P85" i="2" s="1"/>
  <c r="R119" i="2" l="1"/>
  <c r="R120" i="2" s="1"/>
  <c r="R135" i="2" s="1"/>
  <c r="AA85" i="2"/>
  <c r="AA119" i="2" s="1"/>
  <c r="AA120" i="2" s="1"/>
  <c r="AA135" i="2" s="1"/>
  <c r="AB71" i="2"/>
  <c r="AB85" i="2" s="1"/>
  <c r="AA124" i="2"/>
  <c r="N119" i="2"/>
  <c r="N120" i="2" s="1"/>
  <c r="N135" i="2" s="1"/>
  <c r="AA117" i="2"/>
  <c r="AA23" i="2"/>
  <c r="AA36" i="2" s="1"/>
  <c r="AA37" i="2"/>
  <c r="N21" i="2"/>
  <c r="N35" i="2"/>
  <c r="AA35" i="2"/>
  <c r="AB124" i="2"/>
  <c r="AB133" i="2" s="1"/>
  <c r="AA132" i="2"/>
  <c r="AB132" i="2"/>
  <c r="AB136" i="2" s="1"/>
  <c r="AB102" i="2"/>
  <c r="AB114" i="2" s="1"/>
  <c r="AB117" i="2" s="1"/>
  <c r="AB23" i="2"/>
  <c r="AB36" i="2" s="1"/>
  <c r="H35" i="2"/>
  <c r="H21" i="2"/>
  <c r="N124" i="2"/>
  <c r="L21" i="2"/>
  <c r="L35" i="2"/>
  <c r="AB41" i="2"/>
  <c r="R41" i="2"/>
  <c r="Q119" i="2"/>
  <c r="Q120" i="2" s="1"/>
  <c r="Q135" i="2" s="1"/>
  <c r="R132" i="2"/>
  <c r="R133" i="2" s="1"/>
  <c r="Q132" i="2"/>
  <c r="Q133" i="2" s="1"/>
  <c r="P132" i="2"/>
  <c r="P133" i="2" s="1"/>
  <c r="O132" i="2"/>
  <c r="O133" i="2" s="1"/>
  <c r="N132" i="2"/>
  <c r="M132" i="2"/>
  <c r="M133" i="2" s="1"/>
  <c r="L23" i="2" l="1"/>
  <c r="L36" i="2" s="1"/>
  <c r="AB119" i="2"/>
  <c r="AB120" i="2" s="1"/>
  <c r="AB135" i="2" s="1"/>
  <c r="N133" i="2"/>
  <c r="H23" i="2"/>
  <c r="H36" i="2" s="1"/>
  <c r="N23" i="2"/>
  <c r="N36" i="2" s="1"/>
  <c r="AA133" i="2"/>
  <c r="AA136" i="2"/>
  <c r="Q30" i="2"/>
  <c r="M26" i="2"/>
  <c r="M11" i="2"/>
  <c r="M34" i="2" s="1"/>
  <c r="R31" i="2"/>
  <c r="Q31" i="2"/>
  <c r="Q26" i="2"/>
  <c r="P26" i="2"/>
  <c r="Q11" i="2"/>
  <c r="Q34" i="2" s="1"/>
  <c r="S50" i="2"/>
  <c r="T50" i="2"/>
  <c r="Q50" i="2"/>
  <c r="P50" i="2"/>
  <c r="Q41" i="2" l="1"/>
  <c r="Q18" i="2"/>
  <c r="M18" i="2"/>
  <c r="S132" i="2"/>
  <c r="T132" i="2"/>
  <c r="M35" i="2" l="1"/>
  <c r="M21" i="2"/>
  <c r="Q35" i="2"/>
  <c r="Q21" i="2"/>
  <c r="R26" i="2"/>
  <c r="R11" i="2"/>
  <c r="R18" i="2" s="1"/>
  <c r="S26" i="2"/>
  <c r="S11" i="2"/>
  <c r="S18" i="2" s="1"/>
  <c r="S30" i="2"/>
  <c r="S31" i="2"/>
  <c r="T31" i="2"/>
  <c r="P31" i="2"/>
  <c r="O26" i="2"/>
  <c r="O11" i="2"/>
  <c r="O18" i="2" s="1"/>
  <c r="S137" i="2" l="1"/>
  <c r="R137" i="2"/>
  <c r="Q137" i="2"/>
  <c r="P137" i="2"/>
  <c r="R34" i="2"/>
  <c r="O34" i="2"/>
  <c r="S35" i="2"/>
  <c r="S21" i="2"/>
  <c r="R21" i="2"/>
  <c r="R35" i="2"/>
  <c r="O35" i="2"/>
  <c r="O21" i="2"/>
  <c r="M23" i="2"/>
  <c r="M36" i="2" s="1"/>
  <c r="S34" i="2"/>
  <c r="Q23" i="2"/>
  <c r="Q36" i="2" s="1"/>
  <c r="C10" i="1"/>
  <c r="C26" i="1"/>
  <c r="T127" i="2"/>
  <c r="S124" i="2"/>
  <c r="S133" i="2" s="1"/>
  <c r="T102" i="2"/>
  <c r="T114" i="2" s="1"/>
  <c r="T71" i="2"/>
  <c r="T85" i="2" s="1"/>
  <c r="S102" i="2"/>
  <c r="S114" i="2" s="1"/>
  <c r="S117" i="2" s="1"/>
  <c r="D10" i="1"/>
  <c r="D11" i="1"/>
  <c r="D9" i="1"/>
  <c r="C9" i="1"/>
  <c r="P102" i="2"/>
  <c r="D7" i="1"/>
  <c r="S41" i="2"/>
  <c r="P41" i="2"/>
  <c r="T41" i="2"/>
  <c r="T119" i="2" l="1"/>
  <c r="T120" i="2" s="1"/>
  <c r="T135" i="2" s="1"/>
  <c r="R23" i="2"/>
  <c r="R36" i="2" s="1"/>
  <c r="O23" i="2"/>
  <c r="O36" i="2" s="1"/>
  <c r="S23" i="2"/>
  <c r="S36" i="2" s="1"/>
  <c r="T124" i="2"/>
  <c r="T133" i="2" s="1"/>
  <c r="T117" i="2"/>
  <c r="P114" i="2"/>
  <c r="S71" i="2"/>
  <c r="S85" i="2" s="1"/>
  <c r="S119" i="2" s="1"/>
  <c r="S120" i="2" s="1"/>
  <c r="S135" i="2" s="1"/>
  <c r="C33" i="1" l="1"/>
  <c r="P117" i="2"/>
  <c r="P119" i="2"/>
  <c r="P120" i="2" s="1"/>
  <c r="P135" i="2" s="1"/>
  <c r="T30" i="2"/>
  <c r="T26" i="2"/>
  <c r="T137" i="2" s="1"/>
  <c r="T11" i="2"/>
  <c r="T18" i="2" s="1"/>
  <c r="P11" i="2"/>
  <c r="P18" i="2" s="1"/>
  <c r="P21" i="2" s="1"/>
  <c r="P23" i="2" s="1"/>
  <c r="P36" i="2" s="1"/>
  <c r="C8" i="1"/>
  <c r="C11" i="1"/>
  <c r="T34" i="2" l="1"/>
  <c r="T21" i="2"/>
  <c r="T35" i="2"/>
  <c r="P35" i="2"/>
  <c r="P34" i="2"/>
  <c r="C12" i="1"/>
  <c r="T23" i="2" l="1"/>
  <c r="T36" i="2" s="1"/>
</calcChain>
</file>

<file path=xl/sharedStrings.xml><?xml version="1.0" encoding="utf-8"?>
<sst xmlns="http://schemas.openxmlformats.org/spreadsheetml/2006/main" count="269" uniqueCount="215">
  <si>
    <t>$ERJ</t>
  </si>
  <si>
    <t>Embraer S.A.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</si>
  <si>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</si>
  <si>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</si>
  <si>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</si>
  <si>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</si>
  <si>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</si>
  <si>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</si>
  <si>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</si>
  <si>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</si>
  <si>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Key Events</t>
  </si>
  <si>
    <t>Fresh E195-E2 orders from Oman's Salam Air</t>
  </si>
  <si>
    <t>Omain's low cost carrier SalamAir has signed a firm order for six E195-E2 jets with options for a further six units</t>
  </si>
  <si>
    <t>The deal is valued at $934.6 with all options exercised &amp; will be added to Q3 backlog. Deliveries expected 2023</t>
  </si>
  <si>
    <t>Management</t>
  </si>
  <si>
    <t>CEO</t>
  </si>
  <si>
    <t>Pres</t>
  </si>
  <si>
    <t>CFO</t>
  </si>
  <si>
    <t>Francisco Neto</t>
  </si>
  <si>
    <t>Antonio Garcia</t>
  </si>
  <si>
    <t>Profile</t>
  </si>
  <si>
    <t>HQ</t>
  </si>
  <si>
    <t>Founded</t>
  </si>
  <si>
    <t>Update</t>
  </si>
  <si>
    <t>IR</t>
  </si>
  <si>
    <t>Metrics</t>
  </si>
  <si>
    <t>P/B</t>
  </si>
  <si>
    <t>P/S</t>
  </si>
  <si>
    <t>P/E</t>
  </si>
  <si>
    <t>Royal Jordanian signs MoU for a mix of E190-E2 &amp; E195-E2 aircraft</t>
  </si>
  <si>
    <t>Deal was brokered at the Istanbul Air Show as with Oman's SalamAir deal who had previously been Airbus-exclusive</t>
  </si>
  <si>
    <t>Link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</si>
  <si>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</si>
  <si>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</si>
  <si>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</si>
  <si>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</si>
  <si>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</si>
  <si>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</si>
  <si>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</si>
  <si>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</si>
  <si>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</si>
  <si>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</si>
  <si>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</si>
  <si>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</si>
  <si>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</si>
  <si>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</si>
  <si>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</si>
  <si>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</si>
  <si>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</si>
  <si>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</si>
  <si>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Revenue</t>
  </si>
  <si>
    <t>COGS</t>
  </si>
  <si>
    <t>Gross Profit</t>
  </si>
  <si>
    <t>Operating Income</t>
  </si>
  <si>
    <t>Administrative</t>
  </si>
  <si>
    <t>Selling</t>
  </si>
  <si>
    <t>Financial Losses</t>
  </si>
  <si>
    <t>Research</t>
  </si>
  <si>
    <t>Other Operating Income</t>
  </si>
  <si>
    <t>Equity in Income of JV</t>
  </si>
  <si>
    <t>Finance Income</t>
  </si>
  <si>
    <t>FOREX Gain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</si>
  <si>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</si>
  <si>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</si>
  <si>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</si>
  <si>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</si>
  <si>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</si>
  <si>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</si>
  <si>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</si>
  <si>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</si>
  <si>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</si>
  <si>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</si>
  <si>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Owners of Embrarer</t>
  </si>
  <si>
    <t>Non Controlling</t>
  </si>
  <si>
    <t>Balance Sheet</t>
  </si>
  <si>
    <t>Q322</t>
  </si>
  <si>
    <t>Q422</t>
  </si>
  <si>
    <t>FY18</t>
  </si>
  <si>
    <t>FY19</t>
  </si>
  <si>
    <t>FY20</t>
  </si>
  <si>
    <t>FY21</t>
  </si>
  <si>
    <t>FY22</t>
  </si>
  <si>
    <t>Non-Finance Metrics</t>
  </si>
  <si>
    <t>Deliveries</t>
  </si>
  <si>
    <t>Commercial</t>
  </si>
  <si>
    <t>Embraer 175</t>
  </si>
  <si>
    <t>Embraer 195-E2</t>
  </si>
  <si>
    <t>Executive</t>
  </si>
  <si>
    <t>Light Jets</t>
  </si>
  <si>
    <t>Medium Jets</t>
  </si>
  <si>
    <t>Financial Investments</t>
  </si>
  <si>
    <t>Trade &amp; A/R</t>
  </si>
  <si>
    <t>Derivative Financial Instruments</t>
  </si>
  <si>
    <t>Customer/Commercial Financing</t>
  </si>
  <si>
    <t>Contract Assets</t>
  </si>
  <si>
    <t>Inventories</t>
  </si>
  <si>
    <t>Other Assets</t>
  </si>
  <si>
    <t>Held-For-Sale</t>
  </si>
  <si>
    <t>Assets</t>
  </si>
  <si>
    <t>Deferred Taxes</t>
  </si>
  <si>
    <t>Investments</t>
  </si>
  <si>
    <t>PP&amp;E</t>
  </si>
  <si>
    <t>Intangibles</t>
  </si>
  <si>
    <t>ROU</t>
  </si>
  <si>
    <t>TCA</t>
  </si>
  <si>
    <t>Trade &amp; A/P</t>
  </si>
  <si>
    <t>Supplier Finance</t>
  </si>
  <si>
    <t>Lease Liabiltiies</t>
  </si>
  <si>
    <t>Other Payables</t>
  </si>
  <si>
    <t>Contract Liabilities</t>
  </si>
  <si>
    <t>Taxes &amp; Payroll</t>
  </si>
  <si>
    <t>Income Tax</t>
  </si>
  <si>
    <t>Unearned Income</t>
  </si>
  <si>
    <t>Provisions</t>
  </si>
  <si>
    <t>Liabilities Held For Sale</t>
  </si>
  <si>
    <t>TCL</t>
  </si>
  <si>
    <t>Loans &amp; Financing</t>
  </si>
  <si>
    <t>Deferred Income Tax</t>
  </si>
  <si>
    <t>Liabilities</t>
  </si>
  <si>
    <t>S/E</t>
  </si>
  <si>
    <t>S/E+L</t>
  </si>
  <si>
    <t>Book Value</t>
  </si>
  <si>
    <t>Book Value per Share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</si>
  <si>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</si>
  <si>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</si>
  <si>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</si>
  <si>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</si>
  <si>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</si>
  <si>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</si>
  <si>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</si>
  <si>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</si>
  <si>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</si>
  <si>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Sao Paulo, Brazil</t>
  </si>
  <si>
    <t>Products</t>
  </si>
  <si>
    <t>Inventory Y/Y</t>
  </si>
  <si>
    <t>Inventory Q/Q</t>
  </si>
  <si>
    <t>Inventory/Revenue TTM</t>
  </si>
  <si>
    <t>Embraer E-Jet</t>
  </si>
  <si>
    <t>Embraer E-Jet E2 family</t>
  </si>
  <si>
    <t>Military</t>
  </si>
  <si>
    <t>Embraer R-99 (AWACS)</t>
  </si>
  <si>
    <t>Embraer C-390 Millenium (Transport)</t>
  </si>
  <si>
    <t>Embraer EMB 314 Super Tucano (Attack)</t>
  </si>
  <si>
    <t>Business Jets</t>
  </si>
  <si>
    <t>Embraer Phenom 100 (Very Light Jet)</t>
  </si>
  <si>
    <t>Embraer Phenom 300 (Light Jet)</t>
  </si>
  <si>
    <t>Embraer Phenom 500 (Mid-Size Jet)</t>
  </si>
  <si>
    <t>Embraer Phenom 600 (Super Mid-Size)</t>
  </si>
  <si>
    <t>Aircraft (Current)</t>
  </si>
  <si>
    <t>Utility</t>
  </si>
  <si>
    <t>Embraer EMB 202 Ipanema (Cropduster)</t>
  </si>
  <si>
    <t>Embraer 170 (66-78 passengers)</t>
  </si>
  <si>
    <t>Embraer 175 (76-88 passengers)</t>
  </si>
  <si>
    <t>Embraer 190 (96-114 passengers)</t>
  </si>
  <si>
    <t>Embraer 175-E2 (80-90 passengers)</t>
  </si>
  <si>
    <t>Embraer 190-E2 (97-114 passengers)</t>
  </si>
  <si>
    <t>Embraer 195-E2 (120-146 passengers)</t>
  </si>
  <si>
    <t>JAS 39 Gripen E/F (Multirole Fighter)</t>
  </si>
  <si>
    <t>Pipeline</t>
  </si>
  <si>
    <t>New family of turboprop regional airliners</t>
  </si>
  <si>
    <t>to compete with ATR &amp; Dash 8 designs</t>
  </si>
  <si>
    <t>aiming for 22 launch &amp; 27/28 service entry</t>
  </si>
  <si>
    <t>A joint-venture with Boeing was announced that would see Boeing owning 80% of Embraer's commercial aviation division</t>
  </si>
  <si>
    <t>This was seen as a reaction to Airbus' acquisition of a majority in Bombardier C-Series in Oct 2017</t>
  </si>
  <si>
    <t>Boeing cancelled it's acquisition of Embraer's commercial operations following impact of COVID &amp; 737-max groundings</t>
  </si>
  <si>
    <t>Embraer would retain it's executive jet &amp; defence business</t>
  </si>
  <si>
    <r>
      <t xml:space="preserve">Boeing announced the resulting division would be known as </t>
    </r>
    <r>
      <rPr>
        <i/>
        <sz val="10"/>
        <color theme="1"/>
        <rFont val="Arial"/>
        <family val="2"/>
      </rPr>
      <t xml:space="preserve">Boeing Brasil - Commercial </t>
    </r>
    <r>
      <rPr>
        <sz val="10"/>
        <color theme="1"/>
        <rFont val="Arial"/>
        <family val="2"/>
      </rPr>
      <t>dropping the Embraer name</t>
    </r>
  </si>
  <si>
    <t>Boeing (49%) and Embraer (51%) announced a joint-venture to promote &amp; develop new markets for the C-390 transport</t>
  </si>
  <si>
    <r>
      <t xml:space="preserve">Aircraft named </t>
    </r>
    <r>
      <rPr>
        <i/>
        <sz val="10"/>
        <color theme="1"/>
        <rFont val="Arial"/>
        <family val="2"/>
      </rPr>
      <t xml:space="preserve">Boeing Embraer - Defense </t>
    </r>
    <r>
      <rPr>
        <sz val="10"/>
        <color theme="1"/>
        <rFont val="Arial"/>
        <family val="2"/>
      </rPr>
      <t>to operate after regulatory approvals &amp; closing conditions</t>
    </r>
  </si>
  <si>
    <t>Despite the termination of the two joint-ventures the agreement of the marketing of C-390 remains but prospects falling</t>
  </si>
  <si>
    <t>(USD Millions)</t>
  </si>
  <si>
    <t>Inventory</t>
  </si>
  <si>
    <t>Commercial Aviation</t>
  </si>
  <si>
    <t>Executive Aviation</t>
  </si>
  <si>
    <t>Defense &amp; Security</t>
  </si>
  <si>
    <t>Services &amp; Support</t>
  </si>
  <si>
    <t>Others</t>
  </si>
  <si>
    <t>https://api.mziq.com/mzfilemanager/v2/d/12a56b3a-7b37-4dba-b80a-f3358bf66b71/0552e176-6b29-4f1c-820c-8020af5b31eb?origin=1</t>
  </si>
  <si>
    <t>Share Price</t>
  </si>
  <si>
    <t>Market Cap</t>
  </si>
  <si>
    <t xml:space="preserve"> </t>
  </si>
  <si>
    <t>Q3</t>
  </si>
  <si>
    <t>https://api.mziq.com/mzfilemanager/v2/d/12a56b3a-7b37-4dba-b80a-f3358bf66b71/6180d10a-38ab-421f-9f8b-22fbb0bcd380?origin=1</t>
  </si>
  <si>
    <t>Embraer 190-E2</t>
  </si>
  <si>
    <t>Large Jets</t>
  </si>
  <si>
    <t>Guarantee Deposits</t>
  </si>
  <si>
    <t>Dividends Payable</t>
  </si>
  <si>
    <t>Financial Guarantee &amp; Residual</t>
  </si>
  <si>
    <t>Q4 21</t>
  </si>
  <si>
    <t>https://api.mziq.com/mzfilemanager/v2/d/12a56b3a-7b37-4dba-b80a-f3358bf66b71/282b37b7-69b6-46c3-86f1-3d03bb11cc0e?origin=1</t>
  </si>
  <si>
    <t>Embraer 190</t>
  </si>
  <si>
    <t>-</t>
  </si>
  <si>
    <t>Embraer confident with a deal offered to Croatia airlines to replace all existing 6 Dash-8 &amp; 7 A320 aircraft with E2 jet</t>
  </si>
  <si>
    <t>Q2 20</t>
  </si>
  <si>
    <t>https://api.mziq.com/mzfilemanager/v2/d/12a56b3a-7b37-4dba-b80a-f3358bf66b71/1083816a-dedc-4569-947a-0418e30ccac3?origin=1</t>
  </si>
  <si>
    <t>Embraer 195</t>
  </si>
  <si>
    <t>Collateralized A/R</t>
  </si>
  <si>
    <t>Recourse &amp; Non-Recourse Debt</t>
  </si>
  <si>
    <t>Q1 21</t>
  </si>
  <si>
    <t>https://api.mziq.com/mzfilemanager/v2/d/12a56b3a-7b37-4dba-b80a-f3358bf66b71/a30b7884-cd47-4bdd-bad3-db5809146933?origin=1</t>
  </si>
  <si>
    <t>"This may result in a steady flow of contracts from the Pentagon involving the upgraded KC-390"</t>
  </si>
  <si>
    <t>Includes advanced boom &amp; resilient open mission system to support JADC2 requirements</t>
  </si>
  <si>
    <t>Focused on cost effective, distributed tactical refueling for greater mission area coverage</t>
  </si>
  <si>
    <t>Alt Link</t>
  </si>
  <si>
    <t>L3Harris ($LHX) &amp; Embraer to develop new agile tanker varient of KC-390 to support USAF Operational Imperatives</t>
  </si>
  <si>
    <t>Reuters report $ERJ expected to select engine in Q4 for potential turboprop launch in mid-2023</t>
  </si>
  <si>
    <t>Company talking to Raytheon P&amp;W Canada and to Rolls-Royce about engines for the project</t>
  </si>
  <si>
    <t>Embraer has letters-of-intent for 250+ aircraft and executive said "underline plus"</t>
  </si>
  <si>
    <t>Concept images show rear-mounted</t>
  </si>
  <si>
    <t>turboprops</t>
  </si>
  <si>
    <t>Q3 19</t>
  </si>
  <si>
    <t>https://api.mziq.com/mzfilemanager/v2/d/12a56b3a-7b37-4dba-b80a-f3358bf66b71/8307c88a-cbb3-4e54-9db4-f192e081992a?origin=1</t>
  </si>
  <si>
    <t>Embraer 170</t>
  </si>
  <si>
    <t>Deliveries Y/Y</t>
  </si>
  <si>
    <t>Deliveries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</si>
</sst>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0"/>
    <numFmt numFmtId="166" formatCode="0.0\x"/>
    <numFmt numFmtId="167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0"/>
      <color theme="10"/>
      <name val="Ara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3" fillId="0" borderId="0" xfId="0" applyFont="1" applyBorder="1"/>
    <xf numFmtId="0" fontId="2" fillId="3" borderId="6" xfId="0" applyFont="1" applyFill="1" applyBorder="1"/>
    <xf numFmtId="0" fontId="5" fillId="4" borderId="0" xfId="1" applyFont="1" applyFill="1" applyBorder="1"/>
    <xf numFmtId="0" fontId="3" fillId="4" borderId="0" xfId="0" applyFont="1" applyFill="1" applyBorder="1" applyAlignment="1">
      <alignment horizontal="left" indent="1"/>
    </xf>
    <xf numFmtId="17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3" fillId="0" borderId="0" xfId="0" applyNumberFormat="1" applyFont="1" applyBorder="1"/>
    <xf numFmtId="164" fontId="3" fillId="0" borderId="7" xfId="0" applyNumberFormat="1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15" fontId="7" fillId="0" borderId="0" xfId="0" applyNumberFormat="1" applyFont="1" applyAlignment="1">
      <alignment horizontal="right"/>
    </xf>
    <xf numFmtId="0" fontId="5" fillId="0" borderId="0" xfId="1" applyFont="1" applyAlignment="1">
      <alignment horizontal="right"/>
    </xf>
    <xf numFmtId="9" fontId="3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4" borderId="0" xfId="0" applyFont="1" applyFill="1" applyBorder="1" applyAlignment="1">
      <alignment horizontal="center"/>
    </xf>
    <xf numFmtId="16" fontId="3" fillId="4" borderId="5" xfId="0" applyNumberFormat="1" applyFont="1" applyFill="1" applyBorder="1" applyAlignment="1">
      <alignment horizontal="center"/>
    </xf>
    <xf numFmtId="0" fontId="8" fillId="0" borderId="0" xfId="0" applyFont="1"/>
    <xf numFmtId="9" fontId="2" fillId="0" borderId="0" xfId="0" applyNumberFormat="1" applyFont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9" fillId="0" borderId="0" xfId="0" applyFont="1"/>
    <xf numFmtId="0" fontId="10" fillId="0" borderId="0" xfId="0" applyFont="1"/>
    <xf numFmtId="0" fontId="2" fillId="4" borderId="4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4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2"/>
    </xf>
    <xf numFmtId="0" fontId="2" fillId="4" borderId="4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3"/>
    </xf>
    <xf numFmtId="0" fontId="9" fillId="0" borderId="0" xfId="0" applyFont="1" applyAlignment="1">
      <alignment horizontal="left" indent="3"/>
    </xf>
    <xf numFmtId="0" fontId="10" fillId="0" borderId="0" xfId="0" applyFont="1" applyAlignment="1">
      <alignment horizontal="left" indent="2"/>
    </xf>
    <xf numFmtId="0" fontId="3" fillId="4" borderId="0" xfId="0" applyFont="1" applyFill="1" applyBorder="1" applyAlignment="1">
      <alignment horizontal="left" indent="2"/>
    </xf>
    <xf numFmtId="0" fontId="5" fillId="4" borderId="5" xfId="1" applyFont="1" applyFill="1" applyBorder="1" applyAlignment="1">
      <alignment horizontal="center"/>
    </xf>
    <xf numFmtId="164" fontId="9" fillId="0" borderId="0" xfId="0" applyNumberFormat="1" applyFont="1"/>
    <xf numFmtId="0" fontId="6" fillId="0" borderId="0" xfId="0" applyFont="1" applyAlignment="1">
      <alignment horizontal="left"/>
    </xf>
    <xf numFmtId="0" fontId="3" fillId="4" borderId="7" xfId="0" applyFont="1" applyFill="1" applyBorder="1" applyAlignment="1">
      <alignment horizontal="left" indent="1"/>
    </xf>
    <xf numFmtId="164" fontId="9" fillId="0" borderId="0" xfId="0" applyNumberFormat="1" applyFont="1" applyAlignment="1">
      <alignment horizontal="left" indent="1"/>
    </xf>
    <xf numFmtId="164" fontId="2" fillId="0" borderId="0" xfId="0" applyNumberFormat="1" applyFont="1" applyAlignment="1">
      <alignment wrapText="1"/>
    </xf>
    <xf numFmtId="166" fontId="3" fillId="0" borderId="0" xfId="0" applyNumberFormat="1" applyFont="1"/>
    <xf numFmtId="0" fontId="11" fillId="0" borderId="0" xfId="1" applyFont="1" applyAlignment="1">
      <alignment horizontal="right"/>
    </xf>
    <xf numFmtId="167" fontId="3" fillId="0" borderId="0" xfId="0" applyNumberFormat="1" applyFont="1"/>
    <xf numFmtId="0" fontId="3" fillId="4" borderId="0" xfId="0" applyFont="1" applyFill="1" applyBorder="1"/>
    <xf numFmtId="0" fontId="9" fillId="4" borderId="4" xfId="0" applyFont="1" applyFill="1" applyBorder="1" applyAlignment="1">
      <alignment horizontal="left" indent="2"/>
    </xf>
    <xf numFmtId="0" fontId="5" fillId="4" borderId="8" xfId="1" applyFont="1" applyFill="1" applyBorder="1" applyAlignment="1">
      <alignment horizontal="center"/>
    </xf>
    <xf numFmtId="9" fontId="3" fillId="0" borderId="0" xfId="0" applyNumberFormat="1" applyFont="1" applyAlignment="1">
      <alignment horizontal="right"/>
    </xf>
    <xf numFmtId="9" fontId="9" fillId="0" borderId="0" xfId="0" applyNumberFormat="1" applyFont="1"/>
    <xf numFmtId="9" fontId="10" fillId="0" borderId="0" xfId="0" applyNumberFormat="1" applyFont="1"/>
    <xf numFmtId="0" fontId="9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3" fillId="4" borderId="7" xfId="0" applyNumberFormat="1" applyFont="1" applyFill="1" applyBorder="1" applyAlignment="1">
      <alignment horizontal="center"/>
    </xf>
    <xf numFmtId="166" fontId="3" fillId="4" borderId="8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166" fontId="3" fillId="4" borderId="0" xfId="0" applyNumberFormat="1" applyFont="1" applyFill="1" applyBorder="1" applyAlignment="1">
      <alignment horizontal="center"/>
    </xf>
    <xf numFmtId="166" fontId="3" fillId="4" borderId="5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133350</xdr:rowOff>
    </xdr:from>
    <xdr:to>
      <xdr:col>5</xdr:col>
      <xdr:colOff>514350</xdr:colOff>
      <xdr:row>2</xdr:row>
      <xdr:rowOff>91634</xdr:rowOff>
    </xdr:to>
    <xdr:pic>
      <xdr:nvPicPr>
        <xdr:cNvPr id="2" name="Picture 1" descr="File:Embraer logo.png - Wikimedia Commons">
          <a:extLst>
            <a:ext uri="{FF2B5EF4-FFF2-40B4-BE49-F238E27FC236}">
              <a16:creationId xmlns:a16="http://schemas.microsoft.com/office/drawing/2014/main" id="{17D0185E-01A2-43A3-9959-D8986073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33350"/>
          <a:ext cx="1847850" cy="310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0</xdr:row>
      <xdr:rowOff>0</xdr:rowOff>
    </xdr:from>
    <xdr:to>
      <xdr:col>20</xdr:col>
      <xdr:colOff>19050</xdr:colOff>
      <xdr:row>149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2E1A1CF-2AC4-48FF-BF51-49F66CB9A1C7}"/>
            </a:ext>
          </a:extLst>
        </xdr:cNvPr>
        <xdr:cNvCxnSpPr/>
      </xdr:nvCxnSpPr>
      <xdr:spPr>
        <a:xfrm>
          <a:off x="13315950" y="0"/>
          <a:ext cx="0" cy="225361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0</xdr:row>
      <xdr:rowOff>0</xdr:rowOff>
    </xdr:from>
    <xdr:to>
      <xdr:col>28</xdr:col>
      <xdr:colOff>9525</xdr:colOff>
      <xdr:row>149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007EFC8-8ABF-4185-9C82-30D99B567515}"/>
            </a:ext>
          </a:extLst>
        </xdr:cNvPr>
        <xdr:cNvCxnSpPr/>
      </xdr:nvCxnSpPr>
      <xdr:spPr>
        <a:xfrm>
          <a:off x="18183225" y="0"/>
          <a:ext cx="0" cy="23040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news/1-embraer-expects-select-engine-203238770.html" TargetMode="External"/><Relationship Id="rId3" Type="http://schemas.openxmlformats.org/officeDocument/2006/relationships/hyperlink" Target="https://ri.embraer.com.br/en/" TargetMode="External"/><Relationship Id="rId7" Type="http://schemas.openxmlformats.org/officeDocument/2006/relationships/hyperlink" Target="https://finance.yahoo.com/news/embraer-erj-teams-lhx-upgrade-102310718.html" TargetMode="External"/><Relationship Id="rId2" Type="http://schemas.openxmlformats.org/officeDocument/2006/relationships/hyperlink" Target="https://aviationsourcenews.com/news/royal-jordanian-signs-mou-for-10-embraer-e2-aircraft/" TargetMode="External"/><Relationship Id="rId1" Type="http://schemas.openxmlformats.org/officeDocument/2006/relationships/hyperlink" Target="https://finance.yahoo.com/news/brazils-embraer-gets-fresh-e195-142739784.html" TargetMode="External"/><Relationship Id="rId6" Type="http://schemas.openxmlformats.org/officeDocument/2006/relationships/hyperlink" Target="https://finance.yahoo.com/news/l3harris-embraer-develop-agile-tanker-120000469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xyuaviation.com/2022/09/embraers-offer-to-croatia-airlines-too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Boeing%E2%80%93Embraer_joint_venture" TargetMode="External"/><Relationship Id="rId9" Type="http://schemas.openxmlformats.org/officeDocument/2006/relationships/hyperlink" Target="https://en.wikipedia.org/wiki/Embraer_next-generation_turbopr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mziq.com/mzfilemanager/v2/d/12a56b3a-7b37-4dba-b80a-f3358bf66b71/4f0fe7bc-3e0a-4bdb-8281-e0421dabd505?origin=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pi.mziq.com/mzfilemanager/v2/d/12a56b3a-7b37-4dba-b80a-f3358bf66b71/4f0fe7bc-3e0a-4bdb-8281-e0421dabd505?origin=1" TargetMode="External"/><Relationship Id="rId7" Type="http://schemas.openxmlformats.org/officeDocument/2006/relationships/hyperlink" Target="https://api.mziq.com/mzfilemanager/v2/d/12a56b3a-7b37-4dba-b80a-f3358bf66b71/103afd02-c3eb-4250-a9db-69097c6b2663?origin=1" TargetMode="External"/><Relationship Id="rId12" Type="http://schemas.openxmlformats.org/officeDocument/2006/relationships/hyperlink" Target="https://api.mziq.com/mzfilemanager/v2/d/12a56b3a-7b37-4dba-b80a-f3358bf66b71/c2bfeb9e-2a9d-45c8-a37f-00b3db415d0a?origin=1" TargetMode="External"/><Relationship Id="rId2" Type="http://schemas.openxmlformats.org/officeDocument/2006/relationships/hyperlink" Target="https://api.mziq.com/mzfilemanager/v2/d/12a56b3a-7b37-4dba-b80a-f3358bf66b71/69d4b51b-1ee5-4d3a-b189-674341e04a02?origin=1" TargetMode="External"/><Relationship Id="rId1" Type="http://schemas.openxmlformats.org/officeDocument/2006/relationships/hyperlink" Target="https://api.mziq.com/mzfilemanager/v2/d/12a56b3a-7b37-4dba-b80a-f3358bf66b71/3e83c304-7e9d-fc5f-58b9-17dd2466249a?origin=1" TargetMode="External"/><Relationship Id="rId6" Type="http://schemas.openxmlformats.org/officeDocument/2006/relationships/hyperlink" Target="https://api.mziq.com/mzfilemanager/v2/d/12a56b3a-7b37-4dba-b80a-f3358bf66b71/8ca715d1-b2e0-4c91-b223-fc1ddb26c8c4?origin=1" TargetMode="External"/><Relationship Id="rId11" Type="http://schemas.openxmlformats.org/officeDocument/2006/relationships/hyperlink" Target="https://api.mziq.com/mzfilemanager/v2/d/12a56b3a-7b37-4dba-b80a-f3358bf66b71/c2bfeb9e-2a9d-45c8-a37f-00b3db415d0a?origin=1" TargetMode="External"/><Relationship Id="rId5" Type="http://schemas.openxmlformats.org/officeDocument/2006/relationships/hyperlink" Target="https://api.mziq.com/mzfilemanager/v2/d/12a56b3a-7b37-4dba-b80a-f3358bf66b71/5e5e8198-feaa-4055-ba7b-da1086391e81?origin=1" TargetMode="External"/><Relationship Id="rId10" Type="http://schemas.openxmlformats.org/officeDocument/2006/relationships/hyperlink" Target="https://api.mziq.com/mzfilemanager/v2/d/12a56b3a-7b37-4dba-b80a-f3358bf66b71/fa34ea47-967f-4af1-b9c6-4dd1475b254b?origin=1" TargetMode="External"/><Relationship Id="rId4" Type="http://schemas.openxmlformats.org/officeDocument/2006/relationships/hyperlink" Target="https://api.mziq.com/mzfilemanager/v2/d/12a56b3a-7b37-4dba-b80a-f3358bf66b71/5e5e8198-feaa-4055-ba7b-da1086391e81?origin=1" TargetMode="External"/><Relationship Id="rId9" Type="http://schemas.openxmlformats.org/officeDocument/2006/relationships/hyperlink" Target="https://api.mziq.com/mzfilemanager/v2/d/12a56b3a-7b37-4dba-b80a-f3358bf66b71/d3d63724-8534-4eab-a6b0-084b239fb216?origin=1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324B-1DEB-44A7-A7E2-319E26170844}">
  <dimension ref="A2:X44"/>
  <sheetViews>
    <sheetView workbookViewId="0">
      <selection activeCell="N31" sqref="N31"/>
    </sheetView>
  </sheetViews>
  <sheetFormatPr defaultRowHeight="12.75"/>
  <cols>
    <col min="1" max="16384" width="9.140625" style="3"/>
  </cols>
  <sheetData>
    <row r="2" spans="1:24" ht="15">
      <c r="B2" s="1" t="s">
        <v>0</v>
      </c>
      <c r="D2"/>
    </row>
    <row r="3" spans="1:24">
      <c r="B3" s="2" t="s">
        <v>1</v>
      </c>
    </row>
    <row r="5" spans="1:24">
      <c r="B5" s="67" t="s">
        <v>2</v>
      </c>
      <c r="C5" s="68"/>
      <c r="D5" s="69"/>
      <c r="G5" s="67" t="s">
        <v>10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U5" s="67" t="s">
        <v>133</v>
      </c>
      <c r="V5" s="68"/>
      <c r="W5" s="68"/>
      <c r="X5" s="69"/>
    </row>
    <row r="6" spans="1:24">
      <c r="B6" s="4" t="s">
        <v>3</v>
      </c>
      <c r="C6" s="5">
        <v>9.4499999999999993</v>
      </c>
      <c r="D6" s="18"/>
      <c r="G6" s="9">
        <v>44835</v>
      </c>
      <c r="H6" s="7" t="s">
        <v>11</v>
      </c>
      <c r="I6" s="37"/>
      <c r="J6" s="37"/>
      <c r="K6" s="37"/>
      <c r="L6" s="37"/>
      <c r="M6" s="37"/>
      <c r="N6" s="37"/>
      <c r="O6" s="37"/>
      <c r="P6" s="37"/>
      <c r="Q6" s="37"/>
      <c r="R6" s="38"/>
      <c r="U6" s="41" t="s">
        <v>148</v>
      </c>
      <c r="V6" s="37"/>
      <c r="W6" s="37"/>
      <c r="X6" s="38"/>
    </row>
    <row r="7" spans="1:24">
      <c r="B7" s="4" t="s">
        <v>4</v>
      </c>
      <c r="C7" s="5">
        <v>734.6</v>
      </c>
      <c r="D7" s="18" t="str">
        <f>$C$28</f>
        <v>Q222</v>
      </c>
      <c r="G7" s="10"/>
      <c r="H7" s="8" t="s">
        <v>12</v>
      </c>
      <c r="I7" s="37"/>
      <c r="J7" s="37"/>
      <c r="K7" s="37"/>
      <c r="L7" s="37"/>
      <c r="M7" s="37"/>
      <c r="N7" s="37"/>
      <c r="O7" s="37"/>
      <c r="P7" s="37"/>
      <c r="Q7" s="37"/>
      <c r="R7" s="38"/>
      <c r="U7" s="46" t="s">
        <v>84</v>
      </c>
      <c r="V7" s="37"/>
      <c r="W7" s="37"/>
      <c r="X7" s="38"/>
    </row>
    <row r="8" spans="1:24">
      <c r="B8" s="4" t="s">
        <v>5</v>
      </c>
      <c r="C8" s="12">
        <f>C6*C7</f>
        <v>6941.9699999999993</v>
      </c>
      <c r="D8" s="18"/>
      <c r="G8" s="10"/>
      <c r="H8" s="8" t="s">
        <v>13</v>
      </c>
      <c r="I8" s="37"/>
      <c r="J8" s="37"/>
      <c r="K8" s="37"/>
      <c r="L8" s="37"/>
      <c r="M8" s="37"/>
      <c r="N8" s="37"/>
      <c r="O8" s="37"/>
      <c r="P8" s="37"/>
      <c r="Q8" s="37"/>
      <c r="R8" s="38"/>
      <c r="U8" s="45" t="s">
        <v>137</v>
      </c>
      <c r="V8" s="37"/>
      <c r="W8" s="37"/>
      <c r="X8" s="38"/>
    </row>
    <row r="9" spans="1:24">
      <c r="B9" s="4" t="s">
        <v>6</v>
      </c>
      <c r="C9" s="12">
        <f>'Financial Model'!S122</f>
        <v>2104.1999999999998</v>
      </c>
      <c r="D9" s="18" t="str">
        <f>$C$28</f>
        <v>Q222</v>
      </c>
      <c r="G9" s="10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U9" s="47" t="s">
        <v>151</v>
      </c>
      <c r="V9" s="37"/>
      <c r="W9" s="37"/>
      <c r="X9" s="38"/>
    </row>
    <row r="10" spans="1:24">
      <c r="B10" s="4" t="s">
        <v>7</v>
      </c>
      <c r="C10" s="12">
        <f>'Financial Model'!T123</f>
        <v>3173.8999999999996</v>
      </c>
      <c r="D10" s="18" t="str">
        <f>$C$28</f>
        <v>Q222</v>
      </c>
      <c r="G10" s="9">
        <v>44835</v>
      </c>
      <c r="H10" s="7" t="s">
        <v>29</v>
      </c>
      <c r="I10" s="37"/>
      <c r="J10" s="37"/>
      <c r="K10" s="37"/>
      <c r="L10" s="37"/>
      <c r="M10" s="37"/>
      <c r="N10" s="37"/>
      <c r="O10" s="37"/>
      <c r="P10" s="37"/>
      <c r="Q10" s="37"/>
      <c r="R10" s="38"/>
      <c r="U10" s="47" t="s">
        <v>152</v>
      </c>
      <c r="V10" s="37"/>
      <c r="W10" s="37"/>
      <c r="X10" s="38"/>
    </row>
    <row r="11" spans="1:24">
      <c r="B11" s="4" t="s">
        <v>8</v>
      </c>
      <c r="C11" s="12">
        <f>C9-C10</f>
        <v>-1069.6999999999998</v>
      </c>
      <c r="D11" s="18" t="str">
        <f>$C$28</f>
        <v>Q222</v>
      </c>
      <c r="G11" s="10"/>
      <c r="H11" s="8" t="s">
        <v>30</v>
      </c>
      <c r="I11" s="37"/>
      <c r="J11" s="37"/>
      <c r="K11" s="37"/>
      <c r="L11" s="37"/>
      <c r="M11" s="37"/>
      <c r="N11" s="37"/>
      <c r="O11" s="37"/>
      <c r="P11" s="37"/>
      <c r="Q11" s="37"/>
      <c r="R11" s="38"/>
      <c r="U11" s="47" t="s">
        <v>153</v>
      </c>
      <c r="V11" s="37"/>
      <c r="W11" s="37"/>
      <c r="X11" s="38"/>
    </row>
    <row r="12" spans="1:24">
      <c r="B12" s="6" t="s">
        <v>9</v>
      </c>
      <c r="C12" s="13">
        <f>C8-C11</f>
        <v>8011.6699999999992</v>
      </c>
      <c r="D12" s="19"/>
      <c r="G12" s="10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U12" s="42"/>
      <c r="V12" s="37"/>
      <c r="W12" s="37"/>
      <c r="X12" s="38"/>
    </row>
    <row r="13" spans="1:24">
      <c r="G13" s="10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U13" s="45" t="s">
        <v>138</v>
      </c>
      <c r="V13" s="37"/>
      <c r="W13" s="37"/>
      <c r="X13" s="38"/>
    </row>
    <row r="14" spans="1:24">
      <c r="G14" s="9">
        <v>44805</v>
      </c>
      <c r="H14" s="7" t="s">
        <v>192</v>
      </c>
      <c r="I14" s="37"/>
      <c r="J14" s="37"/>
      <c r="K14" s="37"/>
      <c r="L14" s="37"/>
      <c r="M14" s="37"/>
      <c r="N14" s="37"/>
      <c r="O14" s="37"/>
      <c r="P14" s="37"/>
      <c r="Q14" s="37"/>
      <c r="R14" s="38"/>
      <c r="U14" s="47" t="s">
        <v>154</v>
      </c>
      <c r="V14" s="37"/>
      <c r="W14" s="37"/>
      <c r="X14" s="38"/>
    </row>
    <row r="15" spans="1:24">
      <c r="B15" s="67" t="s">
        <v>14</v>
      </c>
      <c r="C15" s="68"/>
      <c r="D15" s="69"/>
      <c r="G15" s="10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U15" s="47" t="s">
        <v>155</v>
      </c>
      <c r="V15" s="37"/>
      <c r="W15" s="37"/>
      <c r="X15" s="38"/>
    </row>
    <row r="16" spans="1:24">
      <c r="A16" s="14" t="s">
        <v>16</v>
      </c>
      <c r="B16" s="16" t="s">
        <v>15</v>
      </c>
      <c r="C16" s="72" t="s">
        <v>18</v>
      </c>
      <c r="D16" s="73"/>
      <c r="G16" s="1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U16" s="47" t="s">
        <v>156</v>
      </c>
      <c r="V16" s="37"/>
      <c r="W16" s="37"/>
      <c r="X16" s="38"/>
    </row>
    <row r="17" spans="2:24">
      <c r="B17" s="16" t="s">
        <v>17</v>
      </c>
      <c r="C17" s="72" t="s">
        <v>19</v>
      </c>
      <c r="D17" s="73"/>
      <c r="G17" s="9">
        <v>44805</v>
      </c>
      <c r="H17" s="7" t="s">
        <v>204</v>
      </c>
      <c r="I17" s="60"/>
      <c r="J17" s="60"/>
      <c r="K17" s="60"/>
      <c r="L17" s="60"/>
      <c r="M17" s="60"/>
      <c r="N17" s="60"/>
      <c r="O17" s="60"/>
      <c r="P17" s="60"/>
      <c r="Q17" s="60"/>
      <c r="R17" s="38"/>
      <c r="U17" s="42"/>
      <c r="V17" s="37"/>
      <c r="W17" s="37"/>
      <c r="X17" s="38"/>
    </row>
    <row r="18" spans="2:24">
      <c r="B18" s="16"/>
      <c r="C18" s="72"/>
      <c r="D18" s="73"/>
      <c r="G18" s="10"/>
      <c r="H18" s="8" t="s">
        <v>201</v>
      </c>
      <c r="I18" s="60"/>
      <c r="J18" s="60"/>
      <c r="K18" s="60"/>
      <c r="L18" s="60"/>
      <c r="M18" s="60"/>
      <c r="N18" s="60"/>
      <c r="O18" s="60"/>
      <c r="P18" s="60"/>
      <c r="Q18" s="60"/>
      <c r="R18" s="38"/>
      <c r="U18" s="46" t="s">
        <v>139</v>
      </c>
      <c r="V18" s="37"/>
      <c r="W18" s="37"/>
      <c r="X18" s="38"/>
    </row>
    <row r="19" spans="2:24">
      <c r="B19" s="17"/>
      <c r="C19" s="80"/>
      <c r="D19" s="81"/>
      <c r="G19" s="10"/>
      <c r="H19" s="8" t="s">
        <v>202</v>
      </c>
      <c r="I19" s="60"/>
      <c r="J19" s="60"/>
      <c r="K19" s="60"/>
      <c r="L19" s="60"/>
      <c r="M19" s="60"/>
      <c r="N19" s="60"/>
      <c r="O19" s="60"/>
      <c r="P19" s="60"/>
      <c r="Q19" s="60"/>
      <c r="R19" s="38"/>
      <c r="U19" s="45" t="s">
        <v>142</v>
      </c>
      <c r="V19" s="37"/>
      <c r="W19" s="37"/>
      <c r="X19" s="38"/>
    </row>
    <row r="20" spans="2:24">
      <c r="G20" s="10"/>
      <c r="H20" s="8" t="s">
        <v>200</v>
      </c>
      <c r="I20" s="60"/>
      <c r="J20" s="60"/>
      <c r="K20" s="60"/>
      <c r="L20" s="60"/>
      <c r="M20" s="60"/>
      <c r="N20" s="60"/>
      <c r="O20" s="60"/>
      <c r="P20" s="60"/>
      <c r="Q20" s="60"/>
      <c r="R20" s="51" t="s">
        <v>203</v>
      </c>
      <c r="U20" s="45" t="s">
        <v>141</v>
      </c>
      <c r="V20" s="37"/>
      <c r="W20" s="37"/>
      <c r="X20" s="38"/>
    </row>
    <row r="21" spans="2:24">
      <c r="G21" s="1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38"/>
      <c r="U21" s="45" t="s">
        <v>140</v>
      </c>
      <c r="V21" s="37"/>
      <c r="W21" s="37"/>
      <c r="X21" s="38"/>
    </row>
    <row r="22" spans="2:24">
      <c r="B22" s="67" t="s">
        <v>20</v>
      </c>
      <c r="C22" s="68"/>
      <c r="D22" s="69"/>
      <c r="G22" s="1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38"/>
      <c r="U22" s="45" t="s">
        <v>157</v>
      </c>
      <c r="V22" s="37"/>
      <c r="W22" s="37"/>
      <c r="X22" s="38"/>
    </row>
    <row r="23" spans="2:24">
      <c r="B23" s="10" t="s">
        <v>21</v>
      </c>
      <c r="C23" s="72" t="s">
        <v>132</v>
      </c>
      <c r="D23" s="73"/>
      <c r="G23" s="9">
        <v>44743</v>
      </c>
      <c r="H23" s="7" t="s">
        <v>205</v>
      </c>
      <c r="I23" s="60"/>
      <c r="J23" s="60"/>
      <c r="K23" s="60"/>
      <c r="L23" s="60"/>
      <c r="M23" s="60"/>
      <c r="N23" s="60"/>
      <c r="O23" s="60"/>
      <c r="P23" s="60"/>
      <c r="Q23" s="60"/>
      <c r="R23" s="38"/>
      <c r="U23" s="42"/>
      <c r="V23" s="37"/>
      <c r="W23" s="37"/>
      <c r="X23" s="38"/>
    </row>
    <row r="24" spans="2:24">
      <c r="B24" s="10" t="s">
        <v>22</v>
      </c>
      <c r="C24" s="72">
        <v>1969</v>
      </c>
      <c r="D24" s="73"/>
      <c r="G24" s="10"/>
      <c r="H24" s="8" t="s">
        <v>206</v>
      </c>
      <c r="I24" s="60"/>
      <c r="J24" s="60"/>
      <c r="K24" s="60"/>
      <c r="L24" s="60"/>
      <c r="M24" s="60"/>
      <c r="N24" s="60"/>
      <c r="O24" s="60"/>
      <c r="P24" s="60"/>
      <c r="Q24" s="60"/>
      <c r="R24" s="38"/>
      <c r="U24" s="46" t="s">
        <v>143</v>
      </c>
      <c r="V24" s="37"/>
      <c r="W24" s="37"/>
      <c r="X24" s="38"/>
    </row>
    <row r="25" spans="2:24">
      <c r="B25" s="10"/>
      <c r="C25" s="72"/>
      <c r="D25" s="73"/>
      <c r="G25" s="10"/>
      <c r="H25" s="50" t="s">
        <v>207</v>
      </c>
      <c r="I25" s="60"/>
      <c r="J25" s="60"/>
      <c r="K25" s="60"/>
      <c r="L25" s="60"/>
      <c r="M25" s="60"/>
      <c r="N25" s="60"/>
      <c r="O25" s="60"/>
      <c r="P25" s="60"/>
      <c r="Q25" s="60"/>
      <c r="R25" s="38"/>
      <c r="U25" s="45" t="s">
        <v>144</v>
      </c>
      <c r="V25" s="37"/>
      <c r="W25" s="37"/>
      <c r="X25" s="38"/>
    </row>
    <row r="26" spans="2:24">
      <c r="B26" s="10" t="s">
        <v>171</v>
      </c>
      <c r="C26" s="78">
        <f>'Financial Model'!T66</f>
        <v>2392.9</v>
      </c>
      <c r="D26" s="79"/>
      <c r="G26" s="1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38"/>
      <c r="U26" s="45" t="s">
        <v>145</v>
      </c>
      <c r="V26" s="37"/>
      <c r="W26" s="37"/>
      <c r="X26" s="38"/>
    </row>
    <row r="27" spans="2:24">
      <c r="B27" s="10"/>
      <c r="C27" s="72"/>
      <c r="D27" s="73"/>
      <c r="G27" s="9">
        <v>43922</v>
      </c>
      <c r="H27" s="37" t="s">
        <v>164</v>
      </c>
      <c r="I27" s="37"/>
      <c r="J27" s="37"/>
      <c r="K27" s="37"/>
      <c r="L27" s="37"/>
      <c r="M27" s="37"/>
      <c r="N27" s="37"/>
      <c r="O27" s="37"/>
      <c r="P27" s="37"/>
      <c r="Q27" s="37"/>
      <c r="R27" s="38"/>
      <c r="U27" s="45" t="s">
        <v>146</v>
      </c>
      <c r="V27" s="37"/>
      <c r="W27" s="37"/>
      <c r="X27" s="38"/>
    </row>
    <row r="28" spans="2:24">
      <c r="B28" s="10" t="s">
        <v>23</v>
      </c>
      <c r="C28" s="31" t="s">
        <v>49</v>
      </c>
      <c r="D28" s="32">
        <v>44777</v>
      </c>
      <c r="G28" s="10"/>
      <c r="H28" s="8" t="s">
        <v>169</v>
      </c>
      <c r="I28" s="37"/>
      <c r="J28" s="37"/>
      <c r="K28" s="37"/>
      <c r="L28" s="37"/>
      <c r="M28" s="37"/>
      <c r="N28" s="37"/>
      <c r="O28" s="37"/>
      <c r="P28" s="37"/>
      <c r="Q28" s="37"/>
      <c r="R28" s="38"/>
      <c r="U28" s="45" t="s">
        <v>147</v>
      </c>
      <c r="V28" s="37"/>
      <c r="W28" s="37"/>
      <c r="X28" s="38"/>
    </row>
    <row r="29" spans="2:24">
      <c r="B29" s="11" t="s">
        <v>24</v>
      </c>
      <c r="C29" s="74" t="s">
        <v>31</v>
      </c>
      <c r="D29" s="75"/>
      <c r="G29" s="10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51" t="s">
        <v>31</v>
      </c>
      <c r="U29" s="42"/>
      <c r="V29" s="37"/>
      <c r="W29" s="37"/>
      <c r="X29" s="38"/>
    </row>
    <row r="30" spans="2:24">
      <c r="G30" s="10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  <c r="U30" s="42"/>
      <c r="V30" s="37"/>
      <c r="W30" s="37"/>
      <c r="X30" s="38"/>
    </row>
    <row r="31" spans="2:24">
      <c r="G31" s="10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/>
      <c r="U31" s="46" t="s">
        <v>149</v>
      </c>
      <c r="V31" s="37"/>
      <c r="W31" s="37"/>
      <c r="X31" s="38"/>
    </row>
    <row r="32" spans="2:24">
      <c r="B32" s="67" t="s">
        <v>25</v>
      </c>
      <c r="C32" s="68"/>
      <c r="D32" s="69"/>
      <c r="G32" s="9">
        <v>43770</v>
      </c>
      <c r="H32" s="37" t="s">
        <v>167</v>
      </c>
      <c r="I32" s="37"/>
      <c r="J32" s="37"/>
      <c r="K32" s="37"/>
      <c r="L32" s="37"/>
      <c r="M32" s="37"/>
      <c r="N32" s="37"/>
      <c r="O32" s="37"/>
      <c r="P32" s="37"/>
      <c r="Q32" s="37"/>
      <c r="R32" s="38"/>
      <c r="U32" s="45" t="s">
        <v>150</v>
      </c>
      <c r="V32" s="37"/>
      <c r="W32" s="37"/>
      <c r="X32" s="38"/>
    </row>
    <row r="33" spans="2:24">
      <c r="B33" s="10" t="s">
        <v>26</v>
      </c>
      <c r="C33" s="76">
        <f>C6/'Financial Model'!T120</f>
        <v>2.4165314860584122</v>
      </c>
      <c r="D33" s="77"/>
      <c r="G33" s="10"/>
      <c r="H33" s="50" t="s">
        <v>168</v>
      </c>
      <c r="I33" s="37"/>
      <c r="J33" s="37"/>
      <c r="K33" s="37"/>
      <c r="L33" s="37"/>
      <c r="M33" s="37"/>
      <c r="N33" s="37"/>
      <c r="O33" s="37"/>
      <c r="P33" s="37"/>
      <c r="Q33" s="37"/>
      <c r="R33" s="38"/>
      <c r="U33" s="42"/>
      <c r="V33" s="37"/>
      <c r="W33" s="37"/>
      <c r="X33" s="38"/>
    </row>
    <row r="34" spans="2:24">
      <c r="B34" s="10" t="s">
        <v>27</v>
      </c>
      <c r="C34" s="76">
        <f>C6/'Financial Model'!AB9</f>
        <v>2.2515010006671113E-3</v>
      </c>
      <c r="D34" s="77"/>
      <c r="G34" s="10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/>
      <c r="U34" s="43"/>
      <c r="V34" s="35"/>
      <c r="W34" s="35"/>
      <c r="X34" s="36"/>
    </row>
    <row r="35" spans="2:24">
      <c r="B35" s="11" t="s">
        <v>28</v>
      </c>
      <c r="C35" s="70">
        <f>C6/'Financial Model'!AB26</f>
        <v>-155.32248322147649</v>
      </c>
      <c r="D35" s="71"/>
      <c r="G35" s="10"/>
      <c r="H35" s="60"/>
      <c r="I35" s="37"/>
      <c r="J35" s="37"/>
      <c r="K35" s="37"/>
      <c r="L35" s="37"/>
      <c r="M35" s="37"/>
      <c r="N35" s="37"/>
      <c r="O35" s="37"/>
      <c r="P35" s="37"/>
      <c r="Q35" s="37" t="s">
        <v>180</v>
      </c>
      <c r="R35" s="38"/>
    </row>
    <row r="36" spans="2:24">
      <c r="G36" s="9">
        <v>43586</v>
      </c>
      <c r="H36" s="60" t="s">
        <v>166</v>
      </c>
      <c r="I36" s="37"/>
      <c r="J36" s="37"/>
      <c r="K36" s="37"/>
      <c r="L36" s="37"/>
      <c r="M36" s="37"/>
      <c r="N36" s="37"/>
      <c r="O36" s="37"/>
      <c r="P36" s="37"/>
      <c r="Q36" s="37"/>
      <c r="R36" s="38"/>
    </row>
    <row r="37" spans="2:24">
      <c r="G37" s="10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U37" s="67" t="s">
        <v>158</v>
      </c>
      <c r="V37" s="68"/>
      <c r="W37" s="68"/>
      <c r="X37" s="69"/>
    </row>
    <row r="38" spans="2:24">
      <c r="G38" s="10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8"/>
      <c r="U38" s="42" t="s">
        <v>159</v>
      </c>
      <c r="V38" s="37"/>
      <c r="W38" s="37"/>
      <c r="X38" s="38"/>
    </row>
    <row r="39" spans="2:24">
      <c r="G39" s="10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8"/>
      <c r="U39" s="44" t="s">
        <v>160</v>
      </c>
      <c r="V39" s="37"/>
      <c r="W39" s="37"/>
      <c r="X39" s="38"/>
    </row>
    <row r="40" spans="2:24">
      <c r="G40" s="10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8"/>
      <c r="U40" s="44" t="s">
        <v>161</v>
      </c>
      <c r="V40" s="37"/>
      <c r="W40" s="37"/>
      <c r="X40" s="38"/>
    </row>
    <row r="41" spans="2:24">
      <c r="G41" s="9">
        <v>43282</v>
      </c>
      <c r="H41" s="37" t="s">
        <v>162</v>
      </c>
      <c r="I41" s="37"/>
      <c r="J41" s="37"/>
      <c r="K41" s="37"/>
      <c r="L41" s="37"/>
      <c r="M41" s="37"/>
      <c r="N41" s="37"/>
      <c r="O41" s="37"/>
      <c r="P41" s="37"/>
      <c r="Q41" s="37"/>
      <c r="R41" s="38"/>
      <c r="U41" s="44"/>
      <c r="V41" s="60"/>
      <c r="W41" s="60"/>
      <c r="X41" s="38"/>
    </row>
    <row r="42" spans="2:24">
      <c r="G42" s="10"/>
      <c r="H42" s="8" t="s">
        <v>163</v>
      </c>
      <c r="I42" s="37"/>
      <c r="J42" s="37"/>
      <c r="K42" s="37"/>
      <c r="L42" s="37"/>
      <c r="M42" s="37"/>
      <c r="N42" s="37"/>
      <c r="O42" s="37"/>
      <c r="P42" s="37"/>
      <c r="Q42" s="37"/>
      <c r="R42" s="38"/>
      <c r="U42" s="61" t="s">
        <v>208</v>
      </c>
      <c r="V42" s="60"/>
      <c r="W42" s="60"/>
      <c r="X42" s="38"/>
    </row>
    <row r="43" spans="2:24">
      <c r="G43" s="11"/>
      <c r="H43" s="54" t="s">
        <v>165</v>
      </c>
      <c r="I43" s="35"/>
      <c r="J43" s="35"/>
      <c r="K43" s="35"/>
      <c r="L43" s="35"/>
      <c r="M43" s="35"/>
      <c r="N43" s="35"/>
      <c r="O43" s="35"/>
      <c r="P43" s="35"/>
      <c r="Q43" s="35"/>
      <c r="R43" s="36"/>
      <c r="U43" s="61" t="s">
        <v>209</v>
      </c>
      <c r="V43" s="60"/>
      <c r="W43" s="60"/>
      <c r="X43" s="38"/>
    </row>
    <row r="44" spans="2:24">
      <c r="U44" s="43"/>
      <c r="V44" s="35"/>
      <c r="W44" s="35"/>
      <c r="X44" s="62" t="s">
        <v>31</v>
      </c>
    </row>
  </sheetData>
  <mergeCells count="20">
    <mergeCell ref="U5:X5"/>
    <mergeCell ref="C26:D26"/>
    <mergeCell ref="B5:D5"/>
    <mergeCell ref="G5:R5"/>
    <mergeCell ref="B15:D15"/>
    <mergeCell ref="C16:D16"/>
    <mergeCell ref="C17:D17"/>
    <mergeCell ref="C18:D18"/>
    <mergeCell ref="C19:D19"/>
    <mergeCell ref="B22:D22"/>
    <mergeCell ref="C23:D23"/>
    <mergeCell ref="C24:D24"/>
    <mergeCell ref="C25:D25"/>
    <mergeCell ref="U37:X37"/>
    <mergeCell ref="C35:D35"/>
    <mergeCell ref="C27:D27"/>
    <mergeCell ref="C29:D29"/>
    <mergeCell ref="B32:D32"/>
    <mergeCell ref="C33:D33"/>
    <mergeCell ref="C34:D34"/>
  </mergeCells>
  <hyperlinks>
    <hyperlink ref="H6" r:id="rId1" xr:uid="{0E1650AB-35EE-47C2-9B99-22A7BB88CC6F}"/>
    <hyperlink ref="H10" r:id="rId2" xr:uid="{64917365-2EAB-45F1-BFD3-E1E4F5A494BB}"/>
    <hyperlink ref="C29:D29" r:id="rId3" display="Link" xr:uid="{11C3F337-5FA5-4654-84A9-81E0FD7B340B}"/>
    <hyperlink ref="R29" r:id="rId4" location="Boeing_Embraer_-_Defense" xr:uid="{CC492105-8696-4FC6-849B-A673602C4CB8}"/>
    <hyperlink ref="H14" r:id="rId5" xr:uid="{E8520AE3-EE90-4F9C-82B7-9DC79CF177B0}"/>
    <hyperlink ref="H17" r:id="rId6" display="L3Harris &amp; Embraer to develop new agile tanker varient of KC-390 to support USAF Operational Imperatives" xr:uid="{51AAA14D-A039-4171-BC04-5AAB9894A308}"/>
    <hyperlink ref="R20" r:id="rId7" display="Link" xr:uid="{AE9B4E32-1957-4A54-8E54-10A62C8F25C4}"/>
    <hyperlink ref="H23" r:id="rId8" display="Reuters report $ERJ expected to select engine in Q4 for potential turboprop launch in 2023" xr:uid="{3D245668-921A-4888-B384-DE0FC15EB559}"/>
    <hyperlink ref="X44" r:id="rId9" xr:uid="{F9FF1395-9489-4EC9-819E-D412DF0569AE}"/>
  </hyperlinks>
  <pageMargins left="0.7" right="0.7" top="0.75" bottom="0.75" header="0.3" footer="0.3"/>
  <pageSetup paperSize="256" orientation="portrait" horizontalDpi="203" verticalDpi="203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B2A-3077-4926-AE7B-39AF91889CD9}">
  <dimension ref="B1:AL13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4" sqref="M4"/>
    </sheetView>
  </sheetViews>
  <sheetFormatPr defaultRowHeight="12.75"/>
  <cols>
    <col min="1" max="1" width="4" style="3" customWidth="1"/>
    <col min="2" max="2" width="30.85546875" style="3" bestFit="1" customWidth="1"/>
    <col min="3" max="19" width="9.140625" style="3"/>
    <col min="20" max="20" width="9.140625" style="3" customWidth="1"/>
    <col min="21" max="16384" width="9.140625" style="3"/>
  </cols>
  <sheetData>
    <row r="1" spans="2:38" s="15" customFormat="1">
      <c r="B1" s="53" t="s">
        <v>170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24" t="s">
        <v>38</v>
      </c>
      <c r="J1" s="24" t="s">
        <v>39</v>
      </c>
      <c r="K1" s="24" t="s">
        <v>40</v>
      </c>
      <c r="L1" s="24" t="s">
        <v>41</v>
      </c>
      <c r="M1" s="24" t="s">
        <v>42</v>
      </c>
      <c r="N1" s="15" t="s">
        <v>43</v>
      </c>
      <c r="O1" s="24" t="s">
        <v>44</v>
      </c>
      <c r="P1" s="15" t="s">
        <v>45</v>
      </c>
      <c r="Q1" s="58" t="s">
        <v>46</v>
      </c>
      <c r="R1" s="24" t="s">
        <v>47</v>
      </c>
      <c r="S1" s="24" t="s">
        <v>48</v>
      </c>
      <c r="T1" s="24" t="s">
        <v>49</v>
      </c>
      <c r="U1" s="15" t="s">
        <v>75</v>
      </c>
      <c r="V1" s="15" t="s">
        <v>76</v>
      </c>
      <c r="Y1" s="15" t="s">
        <v>77</v>
      </c>
      <c r="Z1" s="24" t="s">
        <v>78</v>
      </c>
      <c r="AA1" s="15" t="s">
        <v>79</v>
      </c>
      <c r="AB1" s="24" t="s">
        <v>80</v>
      </c>
      <c r="AC1" s="15" t="s">
        <v>81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130</v>
      </c>
      <c r="AL1" s="15" t="s">
        <v>131</v>
      </c>
    </row>
    <row r="2" spans="2:38" s="21" customFormat="1">
      <c r="B2" s="20"/>
      <c r="C2" s="22">
        <v>43190</v>
      </c>
      <c r="E2" s="22">
        <v>43373</v>
      </c>
      <c r="F2" s="22">
        <v>43465</v>
      </c>
      <c r="G2" s="22">
        <v>43555</v>
      </c>
      <c r="H2" s="22">
        <v>43646</v>
      </c>
      <c r="I2" s="22">
        <v>43738</v>
      </c>
      <c r="J2" s="22">
        <v>43830</v>
      </c>
      <c r="K2" s="22">
        <v>43921</v>
      </c>
      <c r="L2" s="22">
        <v>44012</v>
      </c>
      <c r="M2" s="22">
        <v>44104</v>
      </c>
      <c r="N2" s="22">
        <v>44196</v>
      </c>
      <c r="O2" s="22">
        <v>44286</v>
      </c>
      <c r="P2" s="22">
        <v>44377</v>
      </c>
      <c r="Q2" s="22">
        <v>44469</v>
      </c>
      <c r="R2" s="22">
        <v>44561</v>
      </c>
      <c r="S2" s="22">
        <v>44651</v>
      </c>
      <c r="T2" s="22">
        <v>44742</v>
      </c>
      <c r="Y2" s="22">
        <v>43465</v>
      </c>
      <c r="Z2" s="22">
        <v>43830</v>
      </c>
      <c r="AA2" s="22">
        <v>44196</v>
      </c>
      <c r="AB2" s="22">
        <v>44561</v>
      </c>
    </row>
    <row r="3" spans="2:38" s="21" customFormat="1">
      <c r="B3" s="20"/>
      <c r="I3" s="23">
        <v>43781</v>
      </c>
      <c r="J3" s="23">
        <v>43916</v>
      </c>
      <c r="K3" s="23">
        <v>43983</v>
      </c>
      <c r="L3" s="23">
        <v>44048</v>
      </c>
      <c r="M3" s="23">
        <v>44140</v>
      </c>
      <c r="O3" s="23">
        <v>44315</v>
      </c>
      <c r="P3" s="23"/>
      <c r="Q3" s="23">
        <v>44505</v>
      </c>
      <c r="R3" s="23">
        <v>44629</v>
      </c>
      <c r="S3" s="23">
        <v>44679</v>
      </c>
      <c r="T3" s="23">
        <v>44777</v>
      </c>
      <c r="Z3" s="23">
        <v>43916</v>
      </c>
      <c r="AB3" s="23">
        <v>44629</v>
      </c>
    </row>
    <row r="4" spans="2:38" s="52" customFormat="1">
      <c r="B4" s="55" t="s">
        <v>172</v>
      </c>
      <c r="C4" s="52">
        <v>379.7</v>
      </c>
      <c r="E4" s="52">
        <v>382.1</v>
      </c>
      <c r="F4" s="52">
        <v>839.5</v>
      </c>
      <c r="G4" s="52">
        <v>281.10000000000002</v>
      </c>
      <c r="H4" s="52">
        <v>630.5</v>
      </c>
      <c r="I4" s="52">
        <v>407.8</v>
      </c>
      <c r="J4" s="52">
        <v>915.1</v>
      </c>
      <c r="K4" s="52">
        <v>140.5</v>
      </c>
      <c r="L4" s="52">
        <v>108.6</v>
      </c>
      <c r="M4" s="52">
        <v>177.2</v>
      </c>
      <c r="N4" s="52">
        <v>689.4</v>
      </c>
      <c r="O4" s="52">
        <v>272.2</v>
      </c>
      <c r="P4" s="52">
        <v>388.5</v>
      </c>
      <c r="Q4" s="52">
        <v>242</v>
      </c>
      <c r="R4" s="52">
        <v>413.7</v>
      </c>
      <c r="S4" s="52">
        <v>169.2</v>
      </c>
      <c r="T4" s="52">
        <v>299.89999999999998</v>
      </c>
      <c r="Y4" s="52">
        <v>2358.3000000000002</v>
      </c>
      <c r="Z4" s="52">
        <v>2234.5</v>
      </c>
      <c r="AA4" s="52">
        <v>1114.4000000000001</v>
      </c>
      <c r="AB4" s="52">
        <v>1316.4</v>
      </c>
    </row>
    <row r="5" spans="2:38" s="52" customFormat="1">
      <c r="B5" s="55" t="s">
        <v>173</v>
      </c>
      <c r="C5" s="52">
        <v>127.8</v>
      </c>
      <c r="E5" s="52">
        <v>312</v>
      </c>
      <c r="F5" s="52">
        <v>457.2</v>
      </c>
      <c r="G5" s="52">
        <v>117.3</v>
      </c>
      <c r="H5" s="52">
        <v>297</v>
      </c>
      <c r="I5" s="52">
        <v>363</v>
      </c>
      <c r="J5" s="52">
        <v>619.70000000000005</v>
      </c>
      <c r="K5" s="52">
        <v>129.6</v>
      </c>
      <c r="L5" s="52">
        <v>149.9</v>
      </c>
      <c r="M5" s="52">
        <v>212.3</v>
      </c>
      <c r="N5" s="52">
        <v>580</v>
      </c>
      <c r="O5" s="52">
        <v>152.1</v>
      </c>
      <c r="P5" s="52">
        <v>266.2</v>
      </c>
      <c r="Q5" s="52">
        <v>256.39999999999998</v>
      </c>
      <c r="R5" s="52">
        <v>455.4</v>
      </c>
      <c r="S5" s="52">
        <v>89.9</v>
      </c>
      <c r="T5" s="52">
        <v>266.7</v>
      </c>
      <c r="Y5" s="52">
        <v>1104.3</v>
      </c>
      <c r="Z5" s="52">
        <v>1397</v>
      </c>
      <c r="AA5" s="52">
        <v>1071.5</v>
      </c>
      <c r="AB5" s="52">
        <v>1130.0999999999999</v>
      </c>
    </row>
    <row r="6" spans="2:38" s="52" customFormat="1">
      <c r="B6" s="55" t="s">
        <v>174</v>
      </c>
      <c r="C6" s="52">
        <v>210.8</v>
      </c>
      <c r="E6" s="52">
        <v>230.2</v>
      </c>
      <c r="F6" s="52">
        <v>139.4</v>
      </c>
      <c r="G6" s="52">
        <v>179.4</v>
      </c>
      <c r="H6" s="52">
        <v>141.5</v>
      </c>
      <c r="I6" s="52">
        <v>164.1</v>
      </c>
      <c r="J6" s="52">
        <v>236.1</v>
      </c>
      <c r="K6" s="52">
        <v>149.1</v>
      </c>
      <c r="L6" s="52">
        <v>85.8</v>
      </c>
      <c r="M6" s="52">
        <v>154.69999999999999</v>
      </c>
      <c r="N6" s="52">
        <v>311.10000000000002</v>
      </c>
      <c r="O6" s="52">
        <v>128.5</v>
      </c>
      <c r="P6" s="52">
        <v>174.9</v>
      </c>
      <c r="Q6" s="52">
        <v>176.5</v>
      </c>
      <c r="R6" s="52">
        <v>114.5</v>
      </c>
      <c r="S6" s="52">
        <v>68.3</v>
      </c>
      <c r="T6" s="52">
        <v>126.6</v>
      </c>
      <c r="Y6" s="52">
        <v>612.1</v>
      </c>
      <c r="Z6" s="52">
        <v>775.3</v>
      </c>
      <c r="AA6" s="52">
        <v>653.9</v>
      </c>
      <c r="AB6" s="52">
        <v>594.4</v>
      </c>
    </row>
    <row r="7" spans="2:38" s="52" customFormat="1">
      <c r="B7" s="55" t="s">
        <v>175</v>
      </c>
      <c r="C7" s="52">
        <v>239</v>
      </c>
      <c r="E7" s="52">
        <v>232.5</v>
      </c>
      <c r="F7" s="52">
        <v>253</v>
      </c>
      <c r="G7" s="52">
        <v>244.2</v>
      </c>
      <c r="H7" s="52">
        <v>309.10000000000002</v>
      </c>
      <c r="I7" s="52">
        <v>20.100000000000001</v>
      </c>
      <c r="J7" s="52">
        <v>309.2</v>
      </c>
      <c r="K7" s="52">
        <v>213.1</v>
      </c>
      <c r="L7" s="52">
        <v>191.9</v>
      </c>
      <c r="M7" s="52">
        <v>212.9</v>
      </c>
      <c r="N7" s="52">
        <v>253.5</v>
      </c>
      <c r="O7" s="52">
        <v>250.6</v>
      </c>
      <c r="P7" s="52">
        <v>298</v>
      </c>
      <c r="Q7" s="52">
        <v>276.2</v>
      </c>
      <c r="R7" s="52">
        <v>307.39999999999998</v>
      </c>
      <c r="S7" s="52">
        <v>271.2</v>
      </c>
      <c r="T7" s="52">
        <v>320.10000000000002</v>
      </c>
      <c r="Y7" s="52">
        <v>980.8</v>
      </c>
      <c r="Z7" s="52">
        <v>1046.7</v>
      </c>
      <c r="AA7" s="52">
        <v>920</v>
      </c>
      <c r="AB7" s="52">
        <v>1132.2</v>
      </c>
    </row>
    <row r="8" spans="2:38" s="52" customFormat="1">
      <c r="B8" s="55" t="s">
        <v>176</v>
      </c>
      <c r="C8" s="52">
        <v>3</v>
      </c>
      <c r="E8" s="52">
        <v>2.5</v>
      </c>
      <c r="F8" s="52">
        <v>8.5</v>
      </c>
      <c r="G8" s="52">
        <v>1.3</v>
      </c>
      <c r="H8" s="52">
        <v>0.6</v>
      </c>
      <c r="I8" s="52">
        <v>0.1</v>
      </c>
      <c r="J8" s="52">
        <v>4.9000000000000004</v>
      </c>
      <c r="K8" s="52">
        <v>1.6</v>
      </c>
      <c r="L8" s="52">
        <v>1</v>
      </c>
      <c r="M8" s="52">
        <v>1.6</v>
      </c>
      <c r="N8" s="52">
        <v>7.4</v>
      </c>
      <c r="O8" s="52">
        <v>3.9</v>
      </c>
      <c r="P8" s="52">
        <v>2.9</v>
      </c>
      <c r="Q8" s="52">
        <v>7</v>
      </c>
      <c r="R8" s="52">
        <v>10.3</v>
      </c>
      <c r="S8" s="52">
        <v>2.2999999999999998</v>
      </c>
      <c r="T8" s="52">
        <v>5.6</v>
      </c>
      <c r="Y8" s="52">
        <v>15.6</v>
      </c>
      <c r="Z8" s="52">
        <v>9.1</v>
      </c>
      <c r="AA8" s="52">
        <v>11.3</v>
      </c>
      <c r="AB8" s="52">
        <v>24.1</v>
      </c>
    </row>
    <row r="9" spans="2:38" s="26" customFormat="1">
      <c r="B9" s="26" t="s">
        <v>50</v>
      </c>
      <c r="C9" s="56">
        <v>960.3</v>
      </c>
      <c r="E9" s="26">
        <v>1159.3</v>
      </c>
      <c r="F9" s="26">
        <v>1697.6</v>
      </c>
      <c r="G9" s="26">
        <v>823.3</v>
      </c>
      <c r="H9" s="26">
        <v>1378.7</v>
      </c>
      <c r="I9" s="26">
        <v>1175.5999999999999</v>
      </c>
      <c r="J9" s="26">
        <v>2085</v>
      </c>
      <c r="K9" s="26">
        <v>633.79999999999995</v>
      </c>
      <c r="L9" s="26">
        <v>537.20000000000005</v>
      </c>
      <c r="M9" s="26">
        <v>758.7</v>
      </c>
      <c r="N9" s="26">
        <v>1841.4</v>
      </c>
      <c r="O9" s="26">
        <v>807.3</v>
      </c>
      <c r="P9" s="26">
        <v>1130.5</v>
      </c>
      <c r="Q9" s="26">
        <v>958.1</v>
      </c>
      <c r="R9" s="26">
        <v>1301.3</v>
      </c>
      <c r="S9" s="26">
        <v>600.9</v>
      </c>
      <c r="T9" s="26">
        <v>1018.9</v>
      </c>
      <c r="Y9" s="26">
        <v>5071.1000000000004</v>
      </c>
      <c r="Z9" s="26">
        <v>5462.6</v>
      </c>
      <c r="AA9" s="26">
        <v>3771.1</v>
      </c>
      <c r="AB9" s="26">
        <v>4197.2</v>
      </c>
    </row>
    <row r="10" spans="2:38">
      <c r="B10" s="3" t="s">
        <v>51</v>
      </c>
      <c r="C10" s="27">
        <v>810.2</v>
      </c>
      <c r="E10" s="27">
        <v>940.5</v>
      </c>
      <c r="F10" s="3">
        <v>1436.2</v>
      </c>
      <c r="G10" s="27">
        <v>659.4</v>
      </c>
      <c r="H10" s="27">
        <v>1180.0999999999999</v>
      </c>
      <c r="I10" s="3">
        <v>1021.2</v>
      </c>
      <c r="J10" s="27">
        <v>1806.4</v>
      </c>
      <c r="K10" s="27">
        <v>449.8</v>
      </c>
      <c r="L10" s="3">
        <v>520.79999999999995</v>
      </c>
      <c r="M10" s="27">
        <v>703.9</v>
      </c>
      <c r="N10" s="27">
        <v>1619</v>
      </c>
      <c r="O10" s="3">
        <v>730.9</v>
      </c>
      <c r="P10" s="27">
        <v>924.8</v>
      </c>
      <c r="Q10" s="3">
        <v>776.4</v>
      </c>
      <c r="R10" s="3">
        <v>1105.5</v>
      </c>
      <c r="S10" s="3">
        <v>480.2</v>
      </c>
      <c r="T10" s="27">
        <v>785.6</v>
      </c>
      <c r="Y10" s="27">
        <v>4303.1000000000004</v>
      </c>
      <c r="Z10" s="27">
        <v>4667.1000000000004</v>
      </c>
      <c r="AA10" s="27">
        <v>3293.5</v>
      </c>
      <c r="AB10" s="27">
        <v>3537.6</v>
      </c>
    </row>
    <row r="11" spans="2:38" s="2" customFormat="1">
      <c r="B11" s="2" t="s">
        <v>52</v>
      </c>
      <c r="C11" s="26">
        <f>C9-C10</f>
        <v>150.09999999999991</v>
      </c>
      <c r="E11" s="26">
        <f>E9-E10</f>
        <v>218.79999999999995</v>
      </c>
      <c r="F11" s="26">
        <f t="shared" ref="F11:M11" si="0">F9-F10</f>
        <v>261.39999999999986</v>
      </c>
      <c r="G11" s="26">
        <f t="shared" si="0"/>
        <v>163.89999999999998</v>
      </c>
      <c r="H11" s="26">
        <f t="shared" si="0"/>
        <v>198.60000000000014</v>
      </c>
      <c r="I11" s="26">
        <f t="shared" si="0"/>
        <v>154.39999999999986</v>
      </c>
      <c r="J11" s="26">
        <f t="shared" si="0"/>
        <v>278.59999999999991</v>
      </c>
      <c r="K11" s="26">
        <f t="shared" si="0"/>
        <v>183.99999999999994</v>
      </c>
      <c r="L11" s="26">
        <f t="shared" si="0"/>
        <v>16.400000000000091</v>
      </c>
      <c r="M11" s="26">
        <f t="shared" si="0"/>
        <v>54.800000000000068</v>
      </c>
      <c r="N11" s="26">
        <f t="shared" ref="N11:T11" si="1">N9-N10</f>
        <v>222.40000000000009</v>
      </c>
      <c r="O11" s="26">
        <f t="shared" si="1"/>
        <v>76.399999999999977</v>
      </c>
      <c r="P11" s="26">
        <f t="shared" si="1"/>
        <v>205.70000000000005</v>
      </c>
      <c r="Q11" s="26">
        <f t="shared" si="1"/>
        <v>181.70000000000005</v>
      </c>
      <c r="R11" s="26">
        <f t="shared" si="1"/>
        <v>195.79999999999995</v>
      </c>
      <c r="S11" s="26">
        <f t="shared" si="1"/>
        <v>120.69999999999999</v>
      </c>
      <c r="T11" s="26">
        <f t="shared" si="1"/>
        <v>233.29999999999995</v>
      </c>
      <c r="Y11" s="26">
        <f t="shared" ref="Y11:Z11" si="2">Y9-Y10</f>
        <v>768</v>
      </c>
      <c r="Z11" s="26">
        <f t="shared" si="2"/>
        <v>795.5</v>
      </c>
      <c r="AA11" s="26">
        <f>AA9-AA10</f>
        <v>477.59999999999991</v>
      </c>
      <c r="AB11" s="26">
        <f>AB9-AB10</f>
        <v>659.59999999999991</v>
      </c>
    </row>
    <row r="12" spans="2:38">
      <c r="B12" s="3" t="s">
        <v>54</v>
      </c>
      <c r="C12" s="27">
        <v>44.3</v>
      </c>
      <c r="E12" s="27">
        <v>44.4</v>
      </c>
      <c r="F12" s="3">
        <v>52.5</v>
      </c>
      <c r="G12" s="27">
        <v>46</v>
      </c>
      <c r="H12" s="27">
        <v>46.2</v>
      </c>
      <c r="I12" s="3">
        <v>37.299999999999997</v>
      </c>
      <c r="J12" s="27">
        <v>60.6</v>
      </c>
      <c r="K12" s="27">
        <v>32.5</v>
      </c>
      <c r="L12" s="3">
        <v>33.700000000000003</v>
      </c>
      <c r="M12" s="27">
        <v>35</v>
      </c>
      <c r="N12" s="27">
        <v>42.1</v>
      </c>
      <c r="O12" s="3">
        <v>34.4</v>
      </c>
      <c r="P12" s="27">
        <v>40.799999999999997</v>
      </c>
      <c r="Q12" s="3">
        <v>35.700000000000003</v>
      </c>
      <c r="R12" s="3">
        <v>42.3</v>
      </c>
      <c r="S12" s="3">
        <v>39.700000000000003</v>
      </c>
      <c r="T12" s="27">
        <v>43.9</v>
      </c>
      <c r="Y12" s="27">
        <v>182.6</v>
      </c>
      <c r="Z12" s="27">
        <v>190.2</v>
      </c>
      <c r="AA12" s="27">
        <v>143.4</v>
      </c>
      <c r="AB12" s="27">
        <v>153.19999999999999</v>
      </c>
    </row>
    <row r="13" spans="2:38">
      <c r="B13" s="3" t="s">
        <v>55</v>
      </c>
      <c r="C13" s="27">
        <v>71.3</v>
      </c>
      <c r="E13" s="27">
        <v>73.7</v>
      </c>
      <c r="F13" s="3">
        <v>88.2</v>
      </c>
      <c r="G13" s="27">
        <v>70.3</v>
      </c>
      <c r="H13" s="27">
        <v>76.2</v>
      </c>
      <c r="I13" s="3">
        <v>70.900000000000006</v>
      </c>
      <c r="J13" s="27">
        <v>71.900000000000006</v>
      </c>
      <c r="K13" s="27">
        <v>83.5</v>
      </c>
      <c r="L13" s="3">
        <v>47.6</v>
      </c>
      <c r="M13" s="27">
        <v>45.4</v>
      </c>
      <c r="N13" s="27">
        <v>54</v>
      </c>
      <c r="O13" s="3">
        <v>45.8</v>
      </c>
      <c r="P13" s="27">
        <v>50.2</v>
      </c>
      <c r="Q13" s="3">
        <v>59.7</v>
      </c>
      <c r="R13" s="3">
        <v>70.7</v>
      </c>
      <c r="S13" s="3">
        <v>53.8</v>
      </c>
      <c r="T13" s="27">
        <v>67.400000000000006</v>
      </c>
      <c r="Y13" s="27">
        <v>304.2</v>
      </c>
      <c r="Z13" s="27">
        <v>285.89999999999998</v>
      </c>
      <c r="AA13" s="27">
        <v>194</v>
      </c>
      <c r="AB13" s="27">
        <v>226.4</v>
      </c>
    </row>
    <row r="14" spans="2:38">
      <c r="B14" s="3" t="s">
        <v>56</v>
      </c>
      <c r="C14" s="27">
        <v>0</v>
      </c>
      <c r="E14" s="27">
        <v>0</v>
      </c>
      <c r="F14" s="3">
        <v>0</v>
      </c>
      <c r="G14" s="27">
        <v>0</v>
      </c>
      <c r="H14" s="27">
        <v>-3.3</v>
      </c>
      <c r="I14" s="3">
        <v>0</v>
      </c>
      <c r="J14" s="27">
        <v>0</v>
      </c>
      <c r="K14" s="27">
        <v>0</v>
      </c>
      <c r="L14" s="27">
        <v>19.3</v>
      </c>
      <c r="M14" s="27">
        <v>14</v>
      </c>
      <c r="N14" s="27">
        <v>-7.9</v>
      </c>
      <c r="O14" s="3">
        <v>0.1</v>
      </c>
      <c r="P14" s="27">
        <v>-2.2999999999999998</v>
      </c>
      <c r="Q14" s="3">
        <v>-1.8</v>
      </c>
      <c r="R14" s="3">
        <v>-9</v>
      </c>
      <c r="S14" s="3">
        <v>1.1000000000000001</v>
      </c>
      <c r="T14" s="27">
        <v>21.3</v>
      </c>
      <c r="Y14" s="27">
        <v>0</v>
      </c>
      <c r="Z14" s="27">
        <v>0</v>
      </c>
      <c r="AA14" s="27">
        <v>61.8</v>
      </c>
      <c r="AB14" s="27">
        <v>-13</v>
      </c>
    </row>
    <row r="15" spans="2:38">
      <c r="B15" s="3" t="s">
        <v>57</v>
      </c>
      <c r="C15" s="27">
        <v>9.8000000000000007</v>
      </c>
      <c r="E15" s="27">
        <v>8.6999999999999993</v>
      </c>
      <c r="F15" s="3">
        <v>17.5</v>
      </c>
      <c r="G15" s="27">
        <v>9.3000000000000007</v>
      </c>
      <c r="H15" s="27">
        <v>11.8</v>
      </c>
      <c r="I15" s="3">
        <v>11.6</v>
      </c>
      <c r="J15" s="27">
        <v>16.8</v>
      </c>
      <c r="K15" s="27">
        <v>5.8</v>
      </c>
      <c r="L15" s="27">
        <v>6.4</v>
      </c>
      <c r="M15" s="27">
        <v>7.1</v>
      </c>
      <c r="N15" s="27">
        <v>10.5</v>
      </c>
      <c r="O15" s="3">
        <v>8.4</v>
      </c>
      <c r="P15" s="27">
        <v>9.3000000000000007</v>
      </c>
      <c r="Q15" s="3">
        <v>10.3</v>
      </c>
      <c r="R15" s="59">
        <v>15</v>
      </c>
      <c r="S15" s="59">
        <v>17.399999999999999</v>
      </c>
      <c r="T15" s="27">
        <v>24.9</v>
      </c>
      <c r="Y15" s="27">
        <v>46.1</v>
      </c>
      <c r="Z15" s="27">
        <v>49.4</v>
      </c>
      <c r="AA15" s="27">
        <v>29.8</v>
      </c>
      <c r="AB15" s="27">
        <v>43</v>
      </c>
    </row>
    <row r="16" spans="2:38">
      <c r="B16" s="3" t="s">
        <v>58</v>
      </c>
      <c r="C16" s="27">
        <v>-29.7</v>
      </c>
      <c r="E16" s="27">
        <v>-37.700000000000003</v>
      </c>
      <c r="F16" s="3">
        <v>-96.5</v>
      </c>
      <c r="G16" s="27">
        <v>-53.5</v>
      </c>
      <c r="H16" s="27">
        <v>-41</v>
      </c>
      <c r="I16" s="3">
        <v>-55.4</v>
      </c>
      <c r="J16" s="27">
        <v>-196.8</v>
      </c>
      <c r="K16" s="27">
        <v>-112.2</v>
      </c>
      <c r="L16" s="27">
        <v>-251.8</v>
      </c>
      <c r="M16" s="27">
        <v>9.1</v>
      </c>
      <c r="N16" s="27">
        <v>-19.8</v>
      </c>
      <c r="O16" s="3">
        <v>-21.8</v>
      </c>
      <c r="P16" s="27">
        <v>35.5</v>
      </c>
      <c r="Q16" s="3">
        <v>-49.1</v>
      </c>
      <c r="R16" s="3">
        <v>-14.4</v>
      </c>
      <c r="S16" s="3">
        <v>-46.2</v>
      </c>
      <c r="T16" s="27">
        <v>-13.5</v>
      </c>
      <c r="Y16" s="27">
        <v>-199.4</v>
      </c>
      <c r="Z16" s="27">
        <v>-346.8</v>
      </c>
      <c r="AA16" s="27">
        <v>-374.7</v>
      </c>
      <c r="AB16" s="27">
        <v>-49.8</v>
      </c>
    </row>
    <row r="17" spans="2:28">
      <c r="B17" s="3" t="s">
        <v>59</v>
      </c>
      <c r="C17" s="27">
        <v>-0.3</v>
      </c>
      <c r="E17" s="27">
        <v>0</v>
      </c>
      <c r="F17" s="3">
        <v>-0.1</v>
      </c>
      <c r="G17" s="27">
        <v>0</v>
      </c>
      <c r="H17" s="27">
        <v>-0.1</v>
      </c>
      <c r="I17" s="3">
        <v>0</v>
      </c>
      <c r="J17" s="27">
        <v>-0.1</v>
      </c>
      <c r="K17" s="27">
        <v>3.1</v>
      </c>
      <c r="L17" s="27">
        <v>0</v>
      </c>
      <c r="M17" s="27">
        <v>-0.1</v>
      </c>
      <c r="N17" s="27">
        <v>-0.3</v>
      </c>
      <c r="O17" s="3">
        <v>1</v>
      </c>
      <c r="P17" s="27">
        <v>0.6</v>
      </c>
      <c r="Q17" s="3">
        <v>1.3</v>
      </c>
      <c r="R17" s="3">
        <v>-1.8</v>
      </c>
      <c r="S17" s="27">
        <v>1.2</v>
      </c>
      <c r="T17" s="27">
        <v>4.4000000000000004</v>
      </c>
      <c r="Y17" s="27">
        <v>-0.4</v>
      </c>
      <c r="Z17" s="27">
        <v>-0.2</v>
      </c>
      <c r="AA17" s="27">
        <v>2.7</v>
      </c>
      <c r="AB17" s="27">
        <v>1.1000000000000001</v>
      </c>
    </row>
    <row r="18" spans="2:28" s="2" customFormat="1">
      <c r="B18" s="2" t="s">
        <v>53</v>
      </c>
      <c r="C18" s="26">
        <f>C11-C12-C13-C14-C15+C16+C17</f>
        <v>-5.3000000000000851</v>
      </c>
      <c r="E18" s="26">
        <f>E11-E12-E13-E14-E15+E16+E17</f>
        <v>54.29999999999994</v>
      </c>
      <c r="F18" s="26">
        <f t="shared" ref="F18:M18" si="3">F11-F12-F13-F14-F15+F16+F17</f>
        <v>6.5999999999998611</v>
      </c>
      <c r="G18" s="26">
        <f t="shared" si="3"/>
        <v>-15.200000000000017</v>
      </c>
      <c r="H18" s="26">
        <f t="shared" si="3"/>
        <v>26.600000000000144</v>
      </c>
      <c r="I18" s="26">
        <f t="shared" si="3"/>
        <v>-20.800000000000139</v>
      </c>
      <c r="J18" s="26">
        <f t="shared" si="3"/>
        <v>-67.600000000000108</v>
      </c>
      <c r="K18" s="26">
        <f t="shared" si="3"/>
        <v>-46.900000000000055</v>
      </c>
      <c r="L18" s="26">
        <f t="shared" si="3"/>
        <v>-342.39999999999992</v>
      </c>
      <c r="M18" s="26">
        <f t="shared" si="3"/>
        <v>-37.699999999999932</v>
      </c>
      <c r="N18" s="26">
        <f t="shared" ref="N18:T18" si="4">N11-N12-N13-N14-N15+N16+N17</f>
        <v>103.60000000000011</v>
      </c>
      <c r="O18" s="26">
        <f t="shared" si="4"/>
        <v>-33.100000000000023</v>
      </c>
      <c r="P18" s="26">
        <f t="shared" si="4"/>
        <v>143.80000000000004</v>
      </c>
      <c r="Q18" s="26">
        <f t="shared" si="4"/>
        <v>30.000000000000053</v>
      </c>
      <c r="R18" s="26">
        <f t="shared" si="4"/>
        <v>60.599999999999945</v>
      </c>
      <c r="S18" s="26">
        <f t="shared" si="4"/>
        <v>-36.300000000000011</v>
      </c>
      <c r="T18" s="26">
        <f t="shared" si="4"/>
        <v>66.69999999999996</v>
      </c>
      <c r="Y18" s="26">
        <f t="shared" ref="Y18:AB18" si="5">Y11-Y12-Y13-Y14-Y15+Y16+Y17</f>
        <v>35.29999999999999</v>
      </c>
      <c r="Z18" s="26">
        <f t="shared" si="5"/>
        <v>-77.000000000000014</v>
      </c>
      <c r="AA18" s="26">
        <f t="shared" si="5"/>
        <v>-323.40000000000003</v>
      </c>
      <c r="AB18" s="26">
        <f t="shared" si="5"/>
        <v>201.29999999999987</v>
      </c>
    </row>
    <row r="19" spans="2:28">
      <c r="B19" s="3" t="s">
        <v>60</v>
      </c>
      <c r="C19" s="27">
        <v>-49</v>
      </c>
      <c r="E19" s="27">
        <v>-48.9</v>
      </c>
      <c r="F19" s="3">
        <v>-28</v>
      </c>
      <c r="G19" s="27">
        <v>-41.1</v>
      </c>
      <c r="H19" s="27">
        <v>-30</v>
      </c>
      <c r="I19" s="3">
        <v>-18.100000000000001</v>
      </c>
      <c r="J19" s="27">
        <v>-26.9</v>
      </c>
      <c r="K19" s="27">
        <v>-36.1</v>
      </c>
      <c r="L19" s="27">
        <v>-37.4</v>
      </c>
      <c r="M19" s="27">
        <v>-94.6</v>
      </c>
      <c r="N19" s="27">
        <v>-64.599999999999994</v>
      </c>
      <c r="O19" s="3">
        <v>-75.400000000000006</v>
      </c>
      <c r="P19" s="27">
        <v>-65.5</v>
      </c>
      <c r="Q19" s="3">
        <v>-51.7</v>
      </c>
      <c r="R19" s="3">
        <v>-6.8</v>
      </c>
      <c r="S19" s="3">
        <v>-65.599999999999994</v>
      </c>
      <c r="T19" s="27">
        <v>-38</v>
      </c>
      <c r="Y19" s="27">
        <v>-171.5</v>
      </c>
      <c r="Z19" s="27">
        <v>-116.1</v>
      </c>
      <c r="AA19" s="27">
        <v>-232.7</v>
      </c>
      <c r="AB19" s="27">
        <v>-199.4</v>
      </c>
    </row>
    <row r="20" spans="2:28">
      <c r="B20" s="3" t="s">
        <v>61</v>
      </c>
      <c r="C20" s="27">
        <v>0.4</v>
      </c>
      <c r="E20" s="27">
        <v>2.5</v>
      </c>
      <c r="F20" s="3">
        <v>6.5</v>
      </c>
      <c r="G20" s="27">
        <v>9.1</v>
      </c>
      <c r="H20" s="27">
        <v>-3</v>
      </c>
      <c r="I20" s="3">
        <v>3</v>
      </c>
      <c r="J20" s="27">
        <v>-2.2000000000000002</v>
      </c>
      <c r="K20" s="27">
        <v>-24.7</v>
      </c>
      <c r="L20" s="27">
        <v>-10.4</v>
      </c>
      <c r="M20" s="27">
        <v>-16.3</v>
      </c>
      <c r="N20" s="27">
        <v>-27.6</v>
      </c>
      <c r="O20" s="3">
        <v>19.600000000000001</v>
      </c>
      <c r="P20" s="27">
        <v>5.3</v>
      </c>
      <c r="Q20" s="3">
        <v>-3.3</v>
      </c>
      <c r="R20" s="3">
        <v>3.9</v>
      </c>
      <c r="S20" s="3">
        <v>20.9</v>
      </c>
      <c r="T20" s="27">
        <v>20.8</v>
      </c>
      <c r="Y20" s="27">
        <v>0</v>
      </c>
      <c r="Z20" s="27">
        <v>6.9</v>
      </c>
      <c r="AA20" s="27">
        <v>-79.099999999999994</v>
      </c>
      <c r="AB20" s="27">
        <v>25.5</v>
      </c>
    </row>
    <row r="21" spans="2:28">
      <c r="B21" s="3" t="s">
        <v>62</v>
      </c>
      <c r="C21" s="27">
        <f>C18+C19+C20</f>
        <v>-53.900000000000084</v>
      </c>
      <c r="E21" s="27">
        <f>E18+E19+E20</f>
        <v>7.8999999999999417</v>
      </c>
      <c r="F21" s="27">
        <f t="shared" ref="F21:M21" si="6">F18+F19+F20</f>
        <v>-14.900000000000141</v>
      </c>
      <c r="G21" s="27">
        <f t="shared" si="6"/>
        <v>-47.200000000000017</v>
      </c>
      <c r="H21" s="27">
        <f t="shared" si="6"/>
        <v>-6.3999999999998565</v>
      </c>
      <c r="I21" s="27">
        <f t="shared" si="6"/>
        <v>-35.900000000000141</v>
      </c>
      <c r="J21" s="27">
        <f t="shared" si="6"/>
        <v>-96.700000000000117</v>
      </c>
      <c r="K21" s="27">
        <f t="shared" si="6"/>
        <v>-107.70000000000006</v>
      </c>
      <c r="L21" s="27">
        <f t="shared" si="6"/>
        <v>-390.19999999999987</v>
      </c>
      <c r="M21" s="27">
        <f t="shared" si="6"/>
        <v>-148.59999999999994</v>
      </c>
      <c r="N21" s="27">
        <f t="shared" ref="N21:T21" si="7">N18+N19+N20</f>
        <v>11.400000000000112</v>
      </c>
      <c r="O21" s="27">
        <f t="shared" si="7"/>
        <v>-88.900000000000034</v>
      </c>
      <c r="P21" s="27">
        <f t="shared" si="7"/>
        <v>83.600000000000037</v>
      </c>
      <c r="Q21" s="27">
        <f t="shared" si="7"/>
        <v>-24.99999999999995</v>
      </c>
      <c r="R21" s="27">
        <f t="shared" si="7"/>
        <v>57.699999999999946</v>
      </c>
      <c r="S21" s="27">
        <f t="shared" si="7"/>
        <v>-81</v>
      </c>
      <c r="T21" s="27">
        <f t="shared" si="7"/>
        <v>49.499999999999957</v>
      </c>
      <c r="Y21" s="27">
        <f t="shared" ref="Y21:AB21" si="8">Y18+Y19+Y20</f>
        <v>-136.20000000000002</v>
      </c>
      <c r="Z21" s="27">
        <f t="shared" si="8"/>
        <v>-186.20000000000002</v>
      </c>
      <c r="AA21" s="27">
        <f t="shared" si="8"/>
        <v>-635.20000000000005</v>
      </c>
      <c r="AB21" s="27">
        <f t="shared" si="8"/>
        <v>27.399999999999864</v>
      </c>
    </row>
    <row r="22" spans="2:28">
      <c r="B22" s="3" t="s">
        <v>63</v>
      </c>
      <c r="C22" s="27">
        <v>-19</v>
      </c>
      <c r="E22" s="27">
        <v>18.5</v>
      </c>
      <c r="F22" s="3">
        <v>-18.7</v>
      </c>
      <c r="G22" s="27">
        <v>-6</v>
      </c>
      <c r="H22" s="27">
        <v>-15.6</v>
      </c>
      <c r="I22" s="3">
        <v>39.4</v>
      </c>
      <c r="J22" s="27">
        <v>112.5</v>
      </c>
      <c r="K22" s="27">
        <v>182.9</v>
      </c>
      <c r="L22" s="27">
        <v>-77.599999999999994</v>
      </c>
      <c r="M22" s="27">
        <v>-29.1</v>
      </c>
      <c r="N22" s="27">
        <v>16.899999999999999</v>
      </c>
      <c r="O22" s="3">
        <v>1.1000000000000001</v>
      </c>
      <c r="P22" s="27">
        <v>-5.6</v>
      </c>
      <c r="Q22" s="3">
        <v>20.7</v>
      </c>
      <c r="R22" s="3">
        <v>54.7</v>
      </c>
      <c r="S22" s="3">
        <v>-50.3</v>
      </c>
      <c r="T22" s="27">
        <v>-24.6</v>
      </c>
      <c r="Y22" s="27">
        <v>35</v>
      </c>
      <c r="Z22" s="27">
        <v>130.30000000000001</v>
      </c>
      <c r="AA22" s="27">
        <v>93.1</v>
      </c>
      <c r="AB22" s="27">
        <v>70.900000000000006</v>
      </c>
    </row>
    <row r="23" spans="2:28" s="2" customFormat="1">
      <c r="B23" s="2" t="s">
        <v>64</v>
      </c>
      <c r="C23" s="26">
        <f>C21-C22</f>
        <v>-34.900000000000084</v>
      </c>
      <c r="E23" s="26">
        <f>E21-E22</f>
        <v>-10.600000000000058</v>
      </c>
      <c r="F23" s="26">
        <f t="shared" ref="F23:M23" si="9">F21-F22</f>
        <v>3.7999999999998586</v>
      </c>
      <c r="G23" s="26">
        <f t="shared" si="9"/>
        <v>-41.200000000000017</v>
      </c>
      <c r="H23" s="26">
        <f t="shared" si="9"/>
        <v>9.2000000000001432</v>
      </c>
      <c r="I23" s="26">
        <f t="shared" si="9"/>
        <v>-75.300000000000139</v>
      </c>
      <c r="J23" s="26">
        <f t="shared" si="9"/>
        <v>-209.2000000000001</v>
      </c>
      <c r="K23" s="26">
        <f t="shared" si="9"/>
        <v>-290.60000000000008</v>
      </c>
      <c r="L23" s="26">
        <f t="shared" si="9"/>
        <v>-312.59999999999991</v>
      </c>
      <c r="M23" s="26">
        <f t="shared" si="9"/>
        <v>-119.49999999999994</v>
      </c>
      <c r="N23" s="26">
        <f t="shared" ref="N23:T23" si="10">N21-N22</f>
        <v>-5.4999999999998863</v>
      </c>
      <c r="O23" s="26">
        <f t="shared" si="10"/>
        <v>-90.000000000000028</v>
      </c>
      <c r="P23" s="26">
        <f t="shared" si="10"/>
        <v>89.200000000000031</v>
      </c>
      <c r="Q23" s="26">
        <f t="shared" si="10"/>
        <v>-45.699999999999946</v>
      </c>
      <c r="R23" s="26">
        <f t="shared" si="10"/>
        <v>2.9999999999999432</v>
      </c>
      <c r="S23" s="26">
        <f t="shared" si="10"/>
        <v>-30.700000000000003</v>
      </c>
      <c r="T23" s="26">
        <f t="shared" si="10"/>
        <v>74.099999999999966</v>
      </c>
      <c r="Y23" s="26">
        <f t="shared" ref="Y23:Z23" si="11">Y21-Y22</f>
        <v>-171.20000000000002</v>
      </c>
      <c r="Z23" s="26">
        <f t="shared" si="11"/>
        <v>-316.5</v>
      </c>
      <c r="AA23" s="26">
        <f>AA21-AA22</f>
        <v>-728.30000000000007</v>
      </c>
      <c r="AB23" s="26">
        <f>AB21-AB22</f>
        <v>-43.500000000000142</v>
      </c>
    </row>
    <row r="24" spans="2:28" s="2" customFormat="1">
      <c r="B24" s="29" t="s">
        <v>72</v>
      </c>
      <c r="C24" s="26">
        <v>-37</v>
      </c>
      <c r="E24" s="26">
        <v>-12.5</v>
      </c>
      <c r="F24" s="2">
        <v>2.6</v>
      </c>
      <c r="G24" s="26">
        <v>-42.5</v>
      </c>
      <c r="H24" s="26">
        <v>7.2</v>
      </c>
      <c r="I24" s="2">
        <v>-77.2</v>
      </c>
      <c r="J24" s="26">
        <v>-209.8</v>
      </c>
      <c r="K24" s="26">
        <v>-292</v>
      </c>
      <c r="L24" s="26">
        <v>-315.3</v>
      </c>
      <c r="M24" s="26">
        <v>-121.2</v>
      </c>
      <c r="N24" s="26">
        <v>-3.3</v>
      </c>
      <c r="O24" s="2">
        <v>-89.7</v>
      </c>
      <c r="P24" s="26">
        <v>87.9</v>
      </c>
      <c r="Q24" s="2">
        <v>-45</v>
      </c>
      <c r="R24" s="2">
        <v>2.1</v>
      </c>
      <c r="S24" s="2">
        <v>-31.7</v>
      </c>
      <c r="T24" s="26">
        <v>74.2</v>
      </c>
      <c r="Y24" s="2">
        <v>-178.2</v>
      </c>
      <c r="Z24" s="2">
        <v>-322.3</v>
      </c>
      <c r="AA24" s="26">
        <v>-731.9</v>
      </c>
      <c r="AB24" s="26">
        <v>-44.7</v>
      </c>
    </row>
    <row r="25" spans="2:28">
      <c r="B25" s="30" t="s">
        <v>73</v>
      </c>
      <c r="C25" s="27">
        <v>2.1</v>
      </c>
      <c r="E25" s="27">
        <v>1.9</v>
      </c>
      <c r="F25" s="3">
        <v>1.2</v>
      </c>
      <c r="G25" s="27">
        <v>1.3</v>
      </c>
      <c r="H25" s="27">
        <v>2</v>
      </c>
      <c r="I25" s="3">
        <v>1.9</v>
      </c>
      <c r="J25" s="27">
        <v>0.6</v>
      </c>
      <c r="K25" s="27">
        <v>1.4</v>
      </c>
      <c r="L25" s="27">
        <v>2.7</v>
      </c>
      <c r="M25" s="27">
        <v>1.7</v>
      </c>
      <c r="N25" s="27">
        <v>-2.2000000000000002</v>
      </c>
      <c r="O25" s="3">
        <v>-0.3</v>
      </c>
      <c r="P25" s="27">
        <v>1.3</v>
      </c>
      <c r="Q25" s="3">
        <v>-0.7</v>
      </c>
      <c r="R25" s="3">
        <v>0.9</v>
      </c>
      <c r="S25" s="27">
        <v>1</v>
      </c>
      <c r="T25" s="27">
        <v>-0.1</v>
      </c>
      <c r="Y25" s="27">
        <v>7</v>
      </c>
      <c r="Z25" s="3">
        <v>5.8</v>
      </c>
      <c r="AA25" s="27">
        <v>3.6</v>
      </c>
      <c r="AB25" s="27">
        <v>1.2</v>
      </c>
    </row>
    <row r="26" spans="2:28">
      <c r="B26" s="3" t="s">
        <v>65</v>
      </c>
      <c r="C26" s="28">
        <f>C24/C27</f>
        <v>-5.0456838947224879E-2</v>
      </c>
      <c r="E26" s="28">
        <f>E24/E27</f>
        <v>-1.7034614336331428E-2</v>
      </c>
      <c r="F26" s="28">
        <f t="shared" ref="F26:M26" si="12">F24/F27</f>
        <v>3.5417518049312082E-3</v>
      </c>
      <c r="G26" s="28">
        <f t="shared" si="12"/>
        <v>-5.7768112002174798E-2</v>
      </c>
      <c r="H26" s="28">
        <f t="shared" si="12"/>
        <v>9.7852677357977719E-3</v>
      </c>
      <c r="I26" s="28">
        <f t="shared" si="12"/>
        <v>-0.104919815167165</v>
      </c>
      <c r="J26" s="28">
        <f t="shared" si="12"/>
        <v>-0.28509308329936134</v>
      </c>
      <c r="K26" s="28">
        <f t="shared" si="12"/>
        <v>-0.39668523298464881</v>
      </c>
      <c r="L26" s="28">
        <f t="shared" si="12"/>
        <v>-0.42828035859820701</v>
      </c>
      <c r="M26" s="28">
        <f t="shared" si="12"/>
        <v>-0.16462917685411571</v>
      </c>
      <c r="N26" s="28">
        <f t="shared" ref="N26:T26" si="13">N24/N27</f>
        <v>-4.4824775876120618E-3</v>
      </c>
      <c r="O26" s="28">
        <f t="shared" si="13"/>
        <v>-0.12204081632653062</v>
      </c>
      <c r="P26" s="28">
        <f t="shared" si="13"/>
        <v>0.11962438758845946</v>
      </c>
      <c r="Q26" s="28">
        <f t="shared" si="13"/>
        <v>-6.1241154055525319E-2</v>
      </c>
      <c r="R26" s="28">
        <f t="shared" si="13"/>
        <v>2.8583095140873828E-3</v>
      </c>
      <c r="S26" s="28">
        <f t="shared" si="13"/>
        <v>-4.3152736182956709E-2</v>
      </c>
      <c r="T26" s="28">
        <f t="shared" si="13"/>
        <v>0.10100735093928669</v>
      </c>
      <c r="Y26" s="28">
        <f t="shared" ref="Y26:AB26" si="14">Y24/Y27</f>
        <v>-0.24274621986105432</v>
      </c>
      <c r="Z26" s="28">
        <f t="shared" si="14"/>
        <v>-0.43796711509715996</v>
      </c>
      <c r="AA26" s="28">
        <f t="shared" si="14"/>
        <v>-0.99415919587068724</v>
      </c>
      <c r="AB26" s="28">
        <f t="shared" si="14"/>
        <v>-6.0841159657002861E-2</v>
      </c>
    </row>
    <row r="27" spans="2:28">
      <c r="B27" s="3" t="s">
        <v>4</v>
      </c>
      <c r="C27" s="3">
        <v>733.3</v>
      </c>
      <c r="E27" s="3">
        <v>733.8</v>
      </c>
      <c r="F27" s="3">
        <v>734.1</v>
      </c>
      <c r="G27" s="3">
        <v>735.7</v>
      </c>
      <c r="H27" s="3">
        <v>735.8</v>
      </c>
      <c r="I27" s="3">
        <v>735.8</v>
      </c>
      <c r="J27" s="3">
        <v>735.9</v>
      </c>
      <c r="K27" s="3">
        <v>736.1</v>
      </c>
      <c r="L27" s="3">
        <v>736.2</v>
      </c>
      <c r="M27" s="3">
        <v>736.2</v>
      </c>
      <c r="N27" s="3">
        <v>736.2</v>
      </c>
      <c r="O27" s="27">
        <v>735</v>
      </c>
      <c r="P27" s="27">
        <v>734.8</v>
      </c>
      <c r="Q27" s="3">
        <v>734.8</v>
      </c>
      <c r="R27" s="3">
        <v>734.7</v>
      </c>
      <c r="S27" s="3">
        <v>734.6</v>
      </c>
      <c r="T27" s="3">
        <v>734.6</v>
      </c>
      <c r="Y27" s="3">
        <v>734.1</v>
      </c>
      <c r="Z27" s="3">
        <v>735.9</v>
      </c>
      <c r="AA27" s="3">
        <v>736.2</v>
      </c>
      <c r="AB27" s="3">
        <v>734.7</v>
      </c>
    </row>
    <row r="30" spans="2:28" s="2" customFormat="1">
      <c r="B30" s="2" t="s">
        <v>66</v>
      </c>
      <c r="C30" s="15" t="s">
        <v>191</v>
      </c>
      <c r="D30" s="15" t="s">
        <v>191</v>
      </c>
      <c r="E30" s="15" t="s">
        <v>191</v>
      </c>
      <c r="F30" s="15" t="s">
        <v>191</v>
      </c>
      <c r="G30" s="34">
        <f t="shared" ref="G30:H30" si="15">G9/C9-1</f>
        <v>-0.14266375091117356</v>
      </c>
      <c r="H30" s="34" t="e">
        <f t="shared" si="15"/>
        <v>#DIV/0!</v>
      </c>
      <c r="I30" s="34">
        <f>I9/E9-1</f>
        <v>1.4060208746657477E-2</v>
      </c>
      <c r="J30" s="34">
        <f t="shared" ref="J30" si="16">J9/F9-1</f>
        <v>0.22820452403393032</v>
      </c>
      <c r="K30" s="34">
        <f>K9/G9-1</f>
        <v>-0.23017126199441273</v>
      </c>
      <c r="L30" s="34">
        <f>L9/H9-1</f>
        <v>-0.61035758323057954</v>
      </c>
      <c r="M30" s="34">
        <f>M9/I9-1</f>
        <v>-0.35462742429397742</v>
      </c>
      <c r="N30" s="34">
        <f t="shared" ref="N30:T30" si="17">N9/J9-1</f>
        <v>-0.11683453237410069</v>
      </c>
      <c r="O30" s="34">
        <f t="shared" si="17"/>
        <v>0.27374566109182719</v>
      </c>
      <c r="P30" s="34">
        <f t="shared" si="17"/>
        <v>1.1044303797468351</v>
      </c>
      <c r="Q30" s="34">
        <f t="shared" si="17"/>
        <v>0.26281797812046914</v>
      </c>
      <c r="R30" s="34">
        <f t="shared" si="17"/>
        <v>-0.29330943847072888</v>
      </c>
      <c r="S30" s="34">
        <f t="shared" si="17"/>
        <v>-0.25566703827573389</v>
      </c>
      <c r="T30" s="34">
        <f t="shared" si="17"/>
        <v>-9.8717381689517936E-2</v>
      </c>
      <c r="Y30" s="63" t="s">
        <v>191</v>
      </c>
      <c r="Z30" s="34">
        <f t="shared" ref="Z30:AA30" si="18">Z9/Y9-1</f>
        <v>7.7202184930291295E-2</v>
      </c>
      <c r="AA30" s="34">
        <f t="shared" si="18"/>
        <v>-0.30965108190239088</v>
      </c>
      <c r="AB30" s="34">
        <f>AB9/AA9-1</f>
        <v>0.11299090451062033</v>
      </c>
    </row>
    <row r="31" spans="2:28" s="25" customFormat="1">
      <c r="B31" s="25" t="s">
        <v>67</v>
      </c>
      <c r="C31" s="63" t="s">
        <v>191</v>
      </c>
      <c r="F31" s="25">
        <f t="shared" ref="F31" si="19">F9/E9-1</f>
        <v>0.46433192443716043</v>
      </c>
      <c r="G31" s="25">
        <f t="shared" ref="G31" si="20">G9/F9-1</f>
        <v>-0.51502120640904803</v>
      </c>
      <c r="H31" s="25">
        <f t="shared" ref="H31" si="21">H9/G9-1</f>
        <v>0.67460221061581449</v>
      </c>
      <c r="I31" s="25">
        <f t="shared" ref="I31" si="22">I9/H9-1</f>
        <v>-0.14731268586349466</v>
      </c>
      <c r="J31" s="25">
        <f t="shared" ref="J31" si="23">J9/I9-1</f>
        <v>0.77356243620279019</v>
      </c>
      <c r="K31" s="25">
        <f t="shared" ref="K31" si="24">K9/J9-1</f>
        <v>-0.69601918465227819</v>
      </c>
      <c r="L31" s="25">
        <f t="shared" ref="L31" si="25">L9/K9-1</f>
        <v>-0.15241401072893646</v>
      </c>
      <c r="M31" s="25">
        <f t="shared" ref="M31" si="26">M9/L9-1</f>
        <v>0.41232315711094558</v>
      </c>
      <c r="N31" s="25">
        <f t="shared" ref="N31:O31" si="27">N9/M9-1</f>
        <v>1.4270462633451957</v>
      </c>
      <c r="O31" s="25">
        <f t="shared" si="27"/>
        <v>-0.56158357771261003</v>
      </c>
      <c r="P31" s="25">
        <f>P9/O9-1</f>
        <v>0.40034683512944391</v>
      </c>
      <c r="Q31" s="25">
        <f t="shared" ref="Q31:R31" si="28">Q9/P9-1</f>
        <v>-0.15249889429455987</v>
      </c>
      <c r="R31" s="25">
        <f t="shared" si="28"/>
        <v>0.35820895522388052</v>
      </c>
      <c r="S31" s="25">
        <f>S9/R9-1</f>
        <v>-0.53823099976946132</v>
      </c>
      <c r="T31" s="25">
        <f>T9/S9-1</f>
        <v>0.69562323181893837</v>
      </c>
      <c r="Y31" s="63" t="s">
        <v>191</v>
      </c>
      <c r="Z31" s="63" t="s">
        <v>191</v>
      </c>
      <c r="AA31" s="63" t="s">
        <v>191</v>
      </c>
      <c r="AB31" s="63" t="s">
        <v>191</v>
      </c>
    </row>
    <row r="34" spans="2:28">
      <c r="B34" s="3" t="s">
        <v>68</v>
      </c>
      <c r="C34" s="25">
        <f t="shared" ref="C34" si="29">C11/C9</f>
        <v>0.15630532125377478</v>
      </c>
      <c r="E34" s="25">
        <f t="shared" ref="E34:G34" si="30">E11/E9</f>
        <v>0.18873458121280079</v>
      </c>
      <c r="F34" s="25">
        <f t="shared" ref="F34" si="31">F11/F9</f>
        <v>0.15398209236569266</v>
      </c>
      <c r="G34" s="25">
        <f t="shared" si="30"/>
        <v>0.19907688570387463</v>
      </c>
      <c r="H34" s="25">
        <f>H11/H9</f>
        <v>0.14404874156814398</v>
      </c>
      <c r="I34" s="25">
        <f t="shared" ref="I34:J34" si="32">I11/I9</f>
        <v>0.13133718952024487</v>
      </c>
      <c r="J34" s="25">
        <f t="shared" si="32"/>
        <v>0.13362110311750594</v>
      </c>
      <c r="K34" s="25">
        <f t="shared" ref="K34" si="33">K11/K9</f>
        <v>0.29031240138845055</v>
      </c>
      <c r="L34" s="25">
        <f t="shared" ref="L34" si="34">L11/L9</f>
        <v>3.0528667163067926E-2</v>
      </c>
      <c r="M34" s="25">
        <f>M11/M9</f>
        <v>7.2228812442335658E-2</v>
      </c>
      <c r="N34" s="25">
        <f t="shared" ref="N34" si="35">N11/N9</f>
        <v>0.12077766916476598</v>
      </c>
      <c r="O34" s="25">
        <f>O11/O9</f>
        <v>9.4636442462529391E-2</v>
      </c>
      <c r="P34" s="25">
        <f>P11/P9</f>
        <v>0.18195488721804515</v>
      </c>
      <c r="Q34" s="25">
        <f t="shared" ref="Q34:R34" si="36">Q11/Q9</f>
        <v>0.18964617472080164</v>
      </c>
      <c r="R34" s="25">
        <f t="shared" si="36"/>
        <v>0.1504649196956889</v>
      </c>
      <c r="S34" s="25">
        <f t="shared" ref="S34" si="37">S11/S9</f>
        <v>0.20086536861374604</v>
      </c>
      <c r="T34" s="25">
        <f>T11/T9</f>
        <v>0.2289724212385906</v>
      </c>
      <c r="Y34" s="25">
        <f t="shared" ref="Y34:Z34" si="38">Y11/Y9</f>
        <v>0.15144643174064798</v>
      </c>
      <c r="Z34" s="25">
        <f t="shared" si="38"/>
        <v>0.1456266246842163</v>
      </c>
      <c r="AA34" s="25">
        <f>AA11/AA9</f>
        <v>0.12664739731112937</v>
      </c>
      <c r="AB34" s="25">
        <f>AB11/AB9</f>
        <v>0.15715238730582293</v>
      </c>
    </row>
    <row r="35" spans="2:28">
      <c r="B35" s="3" t="s">
        <v>69</v>
      </c>
      <c r="C35" s="25">
        <f t="shared" ref="C35" si="39">C18/C9</f>
        <v>-5.5191086118922062E-3</v>
      </c>
      <c r="E35" s="25">
        <f t="shared" ref="E35:G35" si="40">E18/E9</f>
        <v>4.6838609505736171E-2</v>
      </c>
      <c r="F35" s="25">
        <f t="shared" ref="F35" si="41">F18/F9</f>
        <v>3.8878416588123597E-3</v>
      </c>
      <c r="G35" s="25">
        <f t="shared" si="40"/>
        <v>-1.8462285922507007E-2</v>
      </c>
      <c r="H35" s="25">
        <f>H18/H9</f>
        <v>1.9293537390295309E-2</v>
      </c>
      <c r="I35" s="25">
        <f t="shared" ref="I35:J35" si="42">I18/I9</f>
        <v>-1.7693092888737785E-2</v>
      </c>
      <c r="J35" s="25">
        <f t="shared" si="42"/>
        <v>-3.2422062350119955E-2</v>
      </c>
      <c r="K35" s="25">
        <f t="shared" ref="K35" si="43">K18/K9</f>
        <v>-7.3998106658251905E-2</v>
      </c>
      <c r="L35" s="25">
        <f t="shared" ref="L35" si="44">L18/L9</f>
        <v>-0.63737900223380473</v>
      </c>
      <c r="M35" s="25">
        <f>M18/M9</f>
        <v>-4.9690259654672372E-2</v>
      </c>
      <c r="N35" s="25">
        <f t="shared" ref="N35" si="45">N18/N9</f>
        <v>5.6261540132507927E-2</v>
      </c>
      <c r="O35" s="25">
        <f>O18/O9</f>
        <v>-4.1000867087823641E-2</v>
      </c>
      <c r="P35" s="25">
        <f>P18/P9</f>
        <v>0.12720035382574085</v>
      </c>
      <c r="Q35" s="25">
        <f t="shared" ref="Q35:R35" si="46">Q18/Q9</f>
        <v>3.1311971610479127E-2</v>
      </c>
      <c r="R35" s="25">
        <f t="shared" si="46"/>
        <v>4.6568815799584988E-2</v>
      </c>
      <c r="S35" s="25">
        <f t="shared" ref="S35" si="47">S18/S9</f>
        <v>-6.0409385921118344E-2</v>
      </c>
      <c r="T35" s="25">
        <f>T18/T9</f>
        <v>6.5462753950338556E-2</v>
      </c>
      <c r="Y35" s="25">
        <f t="shared" ref="Y35:Z35" si="48">Y18/Y9</f>
        <v>6.9610143755792601E-3</v>
      </c>
      <c r="Z35" s="25">
        <f t="shared" si="48"/>
        <v>-1.4095851792186873E-2</v>
      </c>
      <c r="AA35" s="25">
        <f>AA18/AA9</f>
        <v>-8.5757471294847662E-2</v>
      </c>
      <c r="AB35" s="25">
        <f>AB18/AB9</f>
        <v>4.7960545125321614E-2</v>
      </c>
    </row>
    <row r="36" spans="2:28">
      <c r="B36" s="3" t="s">
        <v>70</v>
      </c>
      <c r="C36" s="25">
        <f t="shared" ref="C36" si="49">C23/C9</f>
        <v>-3.6342809538685919E-2</v>
      </c>
      <c r="E36" s="25">
        <f t="shared" ref="E36:G36" si="50">E23/E9</f>
        <v>-9.1434486327957032E-3</v>
      </c>
      <c r="F36" s="25">
        <f t="shared" ref="F36" si="51">F23/F9</f>
        <v>2.2384542884070799E-3</v>
      </c>
      <c r="G36" s="25">
        <f t="shared" si="50"/>
        <v>-5.0042511842584743E-2</v>
      </c>
      <c r="H36" s="25">
        <f>H23/H9</f>
        <v>6.6729527816059642E-3</v>
      </c>
      <c r="I36" s="25">
        <f t="shared" ref="I36:J36" si="52">I23/I9</f>
        <v>-6.4052398775093694E-2</v>
      </c>
      <c r="J36" s="25">
        <f t="shared" si="52"/>
        <v>-0.10033573141486815</v>
      </c>
      <c r="K36" s="25">
        <f t="shared" ref="K36" si="53">K23/K9</f>
        <v>-0.45850426001893357</v>
      </c>
      <c r="L36" s="25">
        <f t="shared" ref="L36" si="54">L23/L9</f>
        <v>-0.58190618019359619</v>
      </c>
      <c r="M36" s="25">
        <f>M23/M9</f>
        <v>-0.15750626070910759</v>
      </c>
      <c r="N36" s="25">
        <f t="shared" ref="N36" si="55">N23/N9</f>
        <v>-2.9868578255674411E-3</v>
      </c>
      <c r="O36" s="25">
        <f>O23/O9</f>
        <v>-0.11148272017837239</v>
      </c>
      <c r="P36" s="25">
        <f>P23/P9</f>
        <v>7.8903140203449823E-2</v>
      </c>
      <c r="Q36" s="25">
        <f t="shared" ref="Q36:R36" si="56">Q23/Q9</f>
        <v>-4.7698570086629734E-2</v>
      </c>
      <c r="R36" s="25">
        <f t="shared" si="56"/>
        <v>2.3053869207714925E-3</v>
      </c>
      <c r="S36" s="25">
        <f t="shared" ref="S36" si="57">S23/S9</f>
        <v>-5.1090031619237815E-2</v>
      </c>
      <c r="T36" s="25">
        <f>T23/T9</f>
        <v>7.2725488271665487E-2</v>
      </c>
      <c r="Y36" s="25">
        <f t="shared" ref="Y36:Z36" si="58">Y23/Y9</f>
        <v>-3.3759933742186117E-2</v>
      </c>
      <c r="Z36" s="25">
        <f t="shared" si="58"/>
        <v>-5.7939442756196682E-2</v>
      </c>
      <c r="AA36" s="25">
        <f>AA23/AA9</f>
        <v>-0.1931266739147729</v>
      </c>
      <c r="AB36" s="25">
        <f>AB23/AB9</f>
        <v>-1.0364052225293087E-2</v>
      </c>
    </row>
    <row r="37" spans="2:28">
      <c r="B37" s="3" t="s">
        <v>71</v>
      </c>
      <c r="C37" s="25">
        <f t="shared" ref="C37" si="59">C22/C21</f>
        <v>0.35250463821892336</v>
      </c>
      <c r="E37" s="25">
        <f t="shared" ref="E37:G37" si="60">E22/E21</f>
        <v>2.3417721518987515</v>
      </c>
      <c r="F37" s="25">
        <f t="shared" ref="F37" si="61">F22/F21</f>
        <v>1.255033557046968</v>
      </c>
      <c r="G37" s="25">
        <f t="shared" si="60"/>
        <v>0.12711864406779658</v>
      </c>
      <c r="H37" s="25">
        <f>H22/H21</f>
        <v>2.4375000000000546</v>
      </c>
      <c r="I37" s="25">
        <f t="shared" ref="I37:J37" si="62">I22/I21</f>
        <v>-1.0974930362116948</v>
      </c>
      <c r="J37" s="25">
        <f t="shared" si="62"/>
        <v>-1.1633919338159242</v>
      </c>
      <c r="K37" s="25">
        <f t="shared" ref="K37:L37" si="63">K22/K21</f>
        <v>-1.6982358402971207</v>
      </c>
      <c r="L37" s="25">
        <f t="shared" si="63"/>
        <v>0.19887237314197853</v>
      </c>
      <c r="M37" s="25">
        <f>M22/M21</f>
        <v>0.19582772543741597</v>
      </c>
      <c r="N37" s="25">
        <f t="shared" ref="N37" si="64">N22/N21</f>
        <v>1.4824561403508625</v>
      </c>
      <c r="O37" s="25">
        <f>O22/O21</f>
        <v>-1.2373453318335205E-2</v>
      </c>
      <c r="P37" s="25">
        <f>P22/P21</f>
        <v>-6.6985645933014315E-2</v>
      </c>
      <c r="Q37" s="25">
        <f t="shared" ref="Q37:R37" si="65">Q22/Q21</f>
        <v>-0.82800000000000162</v>
      </c>
      <c r="R37" s="25">
        <f t="shared" si="65"/>
        <v>0.94800693240901301</v>
      </c>
      <c r="S37" s="25">
        <f t="shared" ref="S37" si="66">S22/S21</f>
        <v>0.62098765432098757</v>
      </c>
      <c r="T37" s="25">
        <f>T22/T21</f>
        <v>-0.49696969696969745</v>
      </c>
      <c r="Y37" s="25">
        <f t="shared" ref="Y37:Z37" si="67">Y22/Y21</f>
        <v>-0.25697503671071947</v>
      </c>
      <c r="Z37" s="25">
        <f t="shared" si="67"/>
        <v>-0.6997851772287863</v>
      </c>
      <c r="AA37" s="25">
        <f>AA22/AA21</f>
        <v>-0.14656801007556672</v>
      </c>
      <c r="AB37" s="25">
        <f>AB22/AB21</f>
        <v>2.5875912408759256</v>
      </c>
    </row>
    <row r="40" spans="2:28">
      <c r="B40" s="33" t="s">
        <v>82</v>
      </c>
    </row>
    <row r="41" spans="2:28" s="2" customFormat="1">
      <c r="B41" s="29" t="s">
        <v>83</v>
      </c>
      <c r="C41" s="2">
        <f t="shared" ref="C41:D41" si="68">C42+C50</f>
        <v>25</v>
      </c>
      <c r="D41" s="2">
        <f t="shared" si="68"/>
        <v>48</v>
      </c>
      <c r="E41" s="2">
        <f t="shared" ref="E41:F41" si="69">E42+E50</f>
        <v>39</v>
      </c>
      <c r="F41" s="2">
        <f t="shared" si="69"/>
        <v>69</v>
      </c>
      <c r="G41" s="2">
        <f t="shared" ref="G41:H41" si="70">G42+G50</f>
        <v>22</v>
      </c>
      <c r="H41" s="2">
        <f t="shared" si="70"/>
        <v>51</v>
      </c>
      <c r="I41" s="2">
        <f t="shared" ref="I41:J41" si="71">I42+I50</f>
        <v>44</v>
      </c>
      <c r="J41" s="2">
        <f t="shared" si="71"/>
        <v>81</v>
      </c>
      <c r="K41" s="2">
        <f t="shared" ref="K41:L41" si="72">K42+K50</f>
        <v>14</v>
      </c>
      <c r="L41" s="2">
        <f t="shared" si="72"/>
        <v>17</v>
      </c>
      <c r="M41" s="2">
        <f t="shared" ref="M41" si="73">M42+M50</f>
        <v>48</v>
      </c>
      <c r="N41" s="2">
        <f t="shared" ref="N41:S41" si="74">N42+N50</f>
        <v>71</v>
      </c>
      <c r="O41" s="2">
        <f t="shared" ref="O41" si="75">O42+O50</f>
        <v>22</v>
      </c>
      <c r="P41" s="2">
        <f t="shared" si="74"/>
        <v>34</v>
      </c>
      <c r="Q41" s="2">
        <f t="shared" si="74"/>
        <v>30</v>
      </c>
      <c r="R41" s="2">
        <f t="shared" si="74"/>
        <v>55</v>
      </c>
      <c r="S41" s="2">
        <f t="shared" si="74"/>
        <v>26</v>
      </c>
      <c r="T41" s="2">
        <f>T42+T50</f>
        <v>32</v>
      </c>
      <c r="Y41" s="2">
        <f t="shared" ref="Y41:Z41" si="76">Y42+Y50</f>
        <v>178</v>
      </c>
      <c r="Z41" s="2">
        <f t="shared" si="76"/>
        <v>198</v>
      </c>
      <c r="AA41" s="2">
        <f>AA42+AA50</f>
        <v>130</v>
      </c>
      <c r="AB41" s="2">
        <f>AB42+AB50</f>
        <v>141</v>
      </c>
    </row>
    <row r="42" spans="2:28" s="40" customFormat="1">
      <c r="B42" s="49" t="s">
        <v>84</v>
      </c>
      <c r="C42" s="40">
        <f t="shared" ref="C42" si="77">SUM(C43:C48)</f>
        <v>14</v>
      </c>
      <c r="D42" s="40">
        <f>SUM(D43:D48)</f>
        <v>28</v>
      </c>
      <c r="E42" s="40">
        <f>SUM(E43:E48)</f>
        <v>15</v>
      </c>
      <c r="F42" s="40">
        <f t="shared" ref="F42" si="78">SUM(F43:F48)</f>
        <v>33</v>
      </c>
      <c r="G42" s="40">
        <f t="shared" ref="G42" si="79">SUM(G43:G48)</f>
        <v>11</v>
      </c>
      <c r="H42" s="40">
        <f t="shared" ref="H42:T42" si="80">SUM(H43:H48)</f>
        <v>26</v>
      </c>
      <c r="I42" s="40">
        <f t="shared" si="80"/>
        <v>17</v>
      </c>
      <c r="J42" s="40">
        <f t="shared" si="80"/>
        <v>35</v>
      </c>
      <c r="K42" s="40">
        <f t="shared" si="80"/>
        <v>5</v>
      </c>
      <c r="L42" s="40">
        <f t="shared" si="80"/>
        <v>4</v>
      </c>
      <c r="M42" s="40">
        <f t="shared" si="80"/>
        <v>27</v>
      </c>
      <c r="N42" s="40">
        <f t="shared" si="80"/>
        <v>28</v>
      </c>
      <c r="O42" s="40">
        <f t="shared" si="80"/>
        <v>9</v>
      </c>
      <c r="P42" s="40">
        <f t="shared" si="80"/>
        <v>14</v>
      </c>
      <c r="Q42" s="40">
        <f t="shared" si="80"/>
        <v>9</v>
      </c>
      <c r="R42" s="40">
        <f t="shared" si="80"/>
        <v>16</v>
      </c>
      <c r="S42" s="40">
        <f t="shared" si="80"/>
        <v>6</v>
      </c>
      <c r="T42" s="40">
        <f t="shared" si="80"/>
        <v>11</v>
      </c>
      <c r="Y42" s="40">
        <f t="shared" ref="Y42:Z42" si="81">SUM(Y43:Y48)</f>
        <v>90</v>
      </c>
      <c r="Z42" s="40">
        <f t="shared" si="81"/>
        <v>89</v>
      </c>
      <c r="AA42" s="40">
        <f t="shared" ref="AA42:AB42" si="82">SUM(AA43:AA48)</f>
        <v>44</v>
      </c>
      <c r="AB42" s="40">
        <f t="shared" si="82"/>
        <v>48</v>
      </c>
    </row>
    <row r="43" spans="2:28" s="39" customFormat="1">
      <c r="B43" s="48" t="s">
        <v>212</v>
      </c>
      <c r="C43" s="39">
        <v>0</v>
      </c>
      <c r="D43" s="39">
        <v>1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Y43" s="39">
        <v>1</v>
      </c>
      <c r="Z43" s="39">
        <v>0</v>
      </c>
      <c r="AA43" s="39">
        <v>0</v>
      </c>
      <c r="AB43" s="39">
        <v>0</v>
      </c>
    </row>
    <row r="44" spans="2:28" s="39" customFormat="1">
      <c r="B44" s="48" t="s">
        <v>85</v>
      </c>
      <c r="C44" s="39">
        <v>11</v>
      </c>
      <c r="D44" s="39">
        <v>20</v>
      </c>
      <c r="E44" s="39">
        <v>13</v>
      </c>
      <c r="F44" s="39">
        <v>23</v>
      </c>
      <c r="G44" s="39">
        <v>10</v>
      </c>
      <c r="H44" s="39">
        <v>22</v>
      </c>
      <c r="I44" s="39">
        <v>13</v>
      </c>
      <c r="J44" s="39">
        <v>22</v>
      </c>
      <c r="K44" s="39">
        <v>3</v>
      </c>
      <c r="L44" s="39">
        <v>2</v>
      </c>
      <c r="M44" s="39">
        <v>21</v>
      </c>
      <c r="N44" s="39">
        <v>21</v>
      </c>
      <c r="O44" s="39">
        <v>2</v>
      </c>
      <c r="P44" s="39">
        <v>7</v>
      </c>
      <c r="Q44" s="39">
        <v>6</v>
      </c>
      <c r="R44" s="39">
        <v>12</v>
      </c>
      <c r="S44" s="39">
        <v>4</v>
      </c>
      <c r="T44" s="39">
        <v>8</v>
      </c>
      <c r="Y44" s="39">
        <v>67</v>
      </c>
      <c r="Z44" s="39">
        <v>67</v>
      </c>
      <c r="AA44" s="39">
        <v>32</v>
      </c>
      <c r="AB44" s="39">
        <v>27</v>
      </c>
    </row>
    <row r="45" spans="2:28" s="39" customFormat="1">
      <c r="B45" s="48" t="s">
        <v>190</v>
      </c>
      <c r="C45" s="39">
        <v>3</v>
      </c>
      <c r="D45" s="39">
        <v>2</v>
      </c>
      <c r="E45" s="39">
        <v>2</v>
      </c>
      <c r="F45" s="39">
        <v>6</v>
      </c>
      <c r="G45" s="39">
        <v>0</v>
      </c>
      <c r="H45" s="39">
        <v>1</v>
      </c>
      <c r="I45" s="39">
        <v>2</v>
      </c>
      <c r="J45" s="39">
        <v>2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Y45" s="39">
        <v>13</v>
      </c>
      <c r="Z45" s="39">
        <v>5</v>
      </c>
      <c r="AA45" s="39">
        <v>1</v>
      </c>
      <c r="AB45" s="39">
        <v>0</v>
      </c>
    </row>
    <row r="46" spans="2:28" s="39" customFormat="1">
      <c r="B46" s="48" t="s">
        <v>195</v>
      </c>
      <c r="C46" s="39">
        <v>0</v>
      </c>
      <c r="D46" s="39">
        <v>2</v>
      </c>
      <c r="E46" s="39">
        <v>0</v>
      </c>
      <c r="F46" s="39">
        <v>3</v>
      </c>
      <c r="G46" s="39">
        <v>0</v>
      </c>
      <c r="H46" s="39">
        <v>2</v>
      </c>
      <c r="I46" s="39">
        <v>0</v>
      </c>
      <c r="J46" s="39">
        <v>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Y46" s="39">
        <v>5</v>
      </c>
      <c r="Z46" s="39">
        <v>3</v>
      </c>
      <c r="AA46" s="39">
        <v>0</v>
      </c>
      <c r="AB46" s="39">
        <v>0</v>
      </c>
    </row>
    <row r="47" spans="2:28" s="39" customFormat="1">
      <c r="B47" s="48" t="s">
        <v>183</v>
      </c>
      <c r="C47" s="39">
        <v>0</v>
      </c>
      <c r="D47" s="39">
        <v>3</v>
      </c>
      <c r="E47" s="39">
        <v>0</v>
      </c>
      <c r="F47" s="39">
        <v>1</v>
      </c>
      <c r="G47" s="39">
        <v>1</v>
      </c>
      <c r="H47" s="39">
        <v>1</v>
      </c>
      <c r="I47" s="39">
        <v>1</v>
      </c>
      <c r="J47" s="39">
        <v>4</v>
      </c>
      <c r="K47" s="39">
        <v>1</v>
      </c>
      <c r="L47" s="39">
        <v>2</v>
      </c>
      <c r="M47" s="39">
        <v>0</v>
      </c>
      <c r="N47" s="39">
        <v>1</v>
      </c>
      <c r="O47" s="39">
        <v>2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Y47" s="39">
        <v>4</v>
      </c>
      <c r="Z47" s="39">
        <v>7</v>
      </c>
      <c r="AA47" s="39">
        <v>4</v>
      </c>
      <c r="AB47" s="39">
        <v>2</v>
      </c>
    </row>
    <row r="48" spans="2:28" s="39" customFormat="1">
      <c r="B48" s="48" t="s">
        <v>86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1</v>
      </c>
      <c r="J48" s="39">
        <v>6</v>
      </c>
      <c r="K48" s="39">
        <v>1</v>
      </c>
      <c r="L48" s="39">
        <v>0</v>
      </c>
      <c r="M48" s="39">
        <v>6</v>
      </c>
      <c r="N48" s="39">
        <v>6</v>
      </c>
      <c r="O48" s="39">
        <v>5</v>
      </c>
      <c r="P48" s="39">
        <v>7</v>
      </c>
      <c r="Q48" s="39">
        <v>3</v>
      </c>
      <c r="R48" s="39">
        <v>4</v>
      </c>
      <c r="S48" s="39">
        <v>2</v>
      </c>
      <c r="T48" s="39">
        <v>3</v>
      </c>
      <c r="Y48" s="39">
        <v>0</v>
      </c>
      <c r="Z48" s="39">
        <v>7</v>
      </c>
      <c r="AA48" s="39">
        <v>7</v>
      </c>
      <c r="AB48" s="39">
        <v>19</v>
      </c>
    </row>
    <row r="49" spans="2:28" s="39" customFormat="1">
      <c r="B49" s="48"/>
    </row>
    <row r="50" spans="2:28" s="40" customFormat="1">
      <c r="B50" s="49" t="s">
        <v>87</v>
      </c>
      <c r="C50" s="40">
        <f t="shared" ref="C50" si="83">C51+C52+C53</f>
        <v>11</v>
      </c>
      <c r="D50" s="40">
        <f>D51+D52+D53</f>
        <v>20</v>
      </c>
      <c r="E50" s="40">
        <f>E51+E52+E53</f>
        <v>24</v>
      </c>
      <c r="F50" s="40">
        <f t="shared" ref="F50" si="84">F51+F52+F53</f>
        <v>36</v>
      </c>
      <c r="G50" s="40">
        <f>G51+G52+G53</f>
        <v>11</v>
      </c>
      <c r="H50" s="40">
        <f>H51+H52+H53</f>
        <v>25</v>
      </c>
      <c r="I50" s="40">
        <f t="shared" ref="I50:J50" si="85">I51+I52+I53</f>
        <v>27</v>
      </c>
      <c r="J50" s="40">
        <f t="shared" si="85"/>
        <v>46</v>
      </c>
      <c r="K50" s="40">
        <f>K51+K52+K53</f>
        <v>9</v>
      </c>
      <c r="L50" s="40">
        <f>L51+L52+L53</f>
        <v>13</v>
      </c>
      <c r="M50" s="40">
        <f t="shared" ref="M50" si="86">M51+M52+M53</f>
        <v>21</v>
      </c>
      <c r="N50" s="40">
        <f t="shared" ref="N50:T50" si="87">N51+N52+N53</f>
        <v>43</v>
      </c>
      <c r="O50" s="40">
        <f t="shared" si="87"/>
        <v>13</v>
      </c>
      <c r="P50" s="40">
        <f t="shared" si="87"/>
        <v>20</v>
      </c>
      <c r="Q50" s="40">
        <f t="shared" si="87"/>
        <v>21</v>
      </c>
      <c r="R50" s="40">
        <f t="shared" si="87"/>
        <v>39</v>
      </c>
      <c r="S50" s="40">
        <f t="shared" si="87"/>
        <v>20</v>
      </c>
      <c r="T50" s="40">
        <f t="shared" si="87"/>
        <v>21</v>
      </c>
      <c r="Y50" s="40">
        <f t="shared" ref="Y50:Z50" si="88">Y51+Y52+Y53</f>
        <v>88</v>
      </c>
      <c r="Z50" s="40">
        <f t="shared" si="88"/>
        <v>109</v>
      </c>
      <c r="AA50" s="40">
        <f>AA51+AA52+AA53</f>
        <v>86</v>
      </c>
      <c r="AB50" s="40">
        <f>AB51+AB52+AB53</f>
        <v>93</v>
      </c>
    </row>
    <row r="51" spans="2:28" s="39" customFormat="1">
      <c r="B51" s="48" t="s">
        <v>88</v>
      </c>
      <c r="C51" s="39">
        <v>8</v>
      </c>
      <c r="D51" s="39">
        <v>15</v>
      </c>
      <c r="E51" s="39">
        <v>17</v>
      </c>
      <c r="F51" s="39">
        <v>24</v>
      </c>
      <c r="G51" s="39">
        <v>8</v>
      </c>
      <c r="H51" s="39">
        <v>19</v>
      </c>
      <c r="I51" s="39">
        <v>15</v>
      </c>
      <c r="J51" s="39">
        <v>20</v>
      </c>
      <c r="K51" s="39">
        <v>5</v>
      </c>
      <c r="L51" s="39">
        <v>9</v>
      </c>
      <c r="M51" s="39">
        <v>19</v>
      </c>
      <c r="N51" s="39">
        <v>23</v>
      </c>
      <c r="O51" s="39">
        <v>10</v>
      </c>
      <c r="P51" s="39">
        <v>12</v>
      </c>
      <c r="Q51" s="39">
        <v>14</v>
      </c>
      <c r="R51" s="39">
        <v>26</v>
      </c>
      <c r="S51" s="39">
        <v>12</v>
      </c>
      <c r="T51" s="39">
        <v>12</v>
      </c>
      <c r="Y51" s="39">
        <v>64</v>
      </c>
      <c r="Z51" s="39">
        <v>62</v>
      </c>
      <c r="AA51" s="39">
        <v>56</v>
      </c>
      <c r="AB51" s="39">
        <v>62</v>
      </c>
    </row>
    <row r="52" spans="2:28" s="39" customFormat="1">
      <c r="B52" s="48" t="s">
        <v>89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20</v>
      </c>
      <c r="O52" s="39">
        <v>0</v>
      </c>
      <c r="P52" s="39">
        <v>8</v>
      </c>
      <c r="Q52" s="39">
        <v>0</v>
      </c>
      <c r="R52" s="39">
        <v>13</v>
      </c>
      <c r="S52" s="39">
        <v>8</v>
      </c>
      <c r="T52" s="39">
        <v>9</v>
      </c>
      <c r="Y52" s="39">
        <v>0</v>
      </c>
      <c r="Z52" s="39">
        <v>0</v>
      </c>
      <c r="AA52" s="39">
        <v>30</v>
      </c>
      <c r="AB52" s="39">
        <v>31</v>
      </c>
    </row>
    <row r="53" spans="2:28" s="39" customFormat="1">
      <c r="B53" s="48" t="s">
        <v>184</v>
      </c>
      <c r="C53" s="39">
        <v>3</v>
      </c>
      <c r="D53" s="39">
        <v>5</v>
      </c>
      <c r="E53" s="39">
        <v>7</v>
      </c>
      <c r="F53" s="39">
        <v>12</v>
      </c>
      <c r="G53" s="39">
        <v>3</v>
      </c>
      <c r="H53" s="39">
        <v>6</v>
      </c>
      <c r="I53" s="39">
        <v>12</v>
      </c>
      <c r="J53" s="39">
        <v>26</v>
      </c>
      <c r="K53" s="39">
        <v>4</v>
      </c>
      <c r="L53" s="39">
        <v>4</v>
      </c>
      <c r="M53" s="39">
        <v>2</v>
      </c>
      <c r="N53" s="39">
        <v>0</v>
      </c>
      <c r="O53" s="39">
        <v>3</v>
      </c>
      <c r="P53" s="39">
        <v>0</v>
      </c>
      <c r="Q53" s="39">
        <v>7</v>
      </c>
      <c r="R53" s="39">
        <v>0</v>
      </c>
      <c r="S53" s="39">
        <v>0</v>
      </c>
      <c r="T53" s="39">
        <v>0</v>
      </c>
      <c r="Y53" s="39">
        <v>24</v>
      </c>
      <c r="Z53" s="39">
        <v>47</v>
      </c>
      <c r="AA53" s="39">
        <v>0</v>
      </c>
      <c r="AB53" s="39">
        <v>0</v>
      </c>
    </row>
    <row r="54" spans="2:28" s="39" customFormat="1">
      <c r="B54" s="48"/>
    </row>
    <row r="55" spans="2:28" s="40" customFormat="1">
      <c r="B55" s="29" t="s">
        <v>213</v>
      </c>
      <c r="C55" s="66" t="s">
        <v>191</v>
      </c>
      <c r="D55" s="66" t="s">
        <v>191</v>
      </c>
      <c r="E55" s="66" t="s">
        <v>191</v>
      </c>
      <c r="F55" s="66" t="s">
        <v>191</v>
      </c>
      <c r="G55" s="65">
        <f t="shared" ref="G55:S55" si="89">G41/C41-1</f>
        <v>-0.12</v>
      </c>
      <c r="H55" s="65">
        <f t="shared" si="89"/>
        <v>6.25E-2</v>
      </c>
      <c r="I55" s="65">
        <f t="shared" si="89"/>
        <v>0.12820512820512819</v>
      </c>
      <c r="J55" s="65">
        <f t="shared" si="89"/>
        <v>0.17391304347826098</v>
      </c>
      <c r="K55" s="65">
        <f t="shared" si="89"/>
        <v>-0.36363636363636365</v>
      </c>
      <c r="L55" s="65">
        <f t="shared" si="89"/>
        <v>-0.66666666666666674</v>
      </c>
      <c r="M55" s="65">
        <f t="shared" si="89"/>
        <v>9.0909090909090828E-2</v>
      </c>
      <c r="N55" s="65">
        <f t="shared" si="89"/>
        <v>-0.12345679012345678</v>
      </c>
      <c r="O55" s="65">
        <f t="shared" si="89"/>
        <v>0.5714285714285714</v>
      </c>
      <c r="P55" s="65">
        <f t="shared" si="89"/>
        <v>1</v>
      </c>
      <c r="Q55" s="65">
        <f t="shared" si="89"/>
        <v>-0.375</v>
      </c>
      <c r="R55" s="65">
        <f t="shared" si="89"/>
        <v>-0.22535211267605637</v>
      </c>
      <c r="S55" s="65">
        <f t="shared" si="89"/>
        <v>0.18181818181818188</v>
      </c>
      <c r="T55" s="65">
        <f>T41/P41-1</f>
        <v>-5.8823529411764719E-2</v>
      </c>
      <c r="Y55" s="66" t="s">
        <v>191</v>
      </c>
      <c r="Z55" s="65">
        <f t="shared" ref="Z55:AB55" si="90">Z41/Y41-1</f>
        <v>0.11235955056179781</v>
      </c>
      <c r="AA55" s="65">
        <f t="shared" si="90"/>
        <v>-0.34343434343434343</v>
      </c>
      <c r="AB55" s="65">
        <f>AB41/AA41-1</f>
        <v>8.4615384615384537E-2</v>
      </c>
    </row>
    <row r="56" spans="2:28" s="39" customFormat="1">
      <c r="B56" s="30" t="s">
        <v>214</v>
      </c>
      <c r="C56" s="66" t="s">
        <v>191</v>
      </c>
      <c r="D56" s="64">
        <f t="shared" ref="D56" si="91">D41/C41-1</f>
        <v>0.91999999999999993</v>
      </c>
      <c r="E56" s="64">
        <f t="shared" ref="E56" si="92">E41/D41-1</f>
        <v>-0.1875</v>
      </c>
      <c r="F56" s="64">
        <f t="shared" ref="F56:S56" si="93">F41/E41-1</f>
        <v>0.76923076923076916</v>
      </c>
      <c r="G56" s="64">
        <f t="shared" si="93"/>
        <v>-0.6811594202898551</v>
      </c>
      <c r="H56" s="64">
        <f t="shared" si="93"/>
        <v>1.3181818181818183</v>
      </c>
      <c r="I56" s="64">
        <f t="shared" si="93"/>
        <v>-0.13725490196078427</v>
      </c>
      <c r="J56" s="64">
        <f t="shared" si="93"/>
        <v>0.84090909090909083</v>
      </c>
      <c r="K56" s="64">
        <f t="shared" si="93"/>
        <v>-0.8271604938271605</v>
      </c>
      <c r="L56" s="64">
        <f t="shared" si="93"/>
        <v>0.21428571428571419</v>
      </c>
      <c r="M56" s="64">
        <f t="shared" si="93"/>
        <v>1.8235294117647061</v>
      </c>
      <c r="N56" s="64">
        <f t="shared" si="93"/>
        <v>0.47916666666666674</v>
      </c>
      <c r="O56" s="64">
        <f t="shared" si="93"/>
        <v>-0.6901408450704225</v>
      </c>
      <c r="P56" s="64">
        <f t="shared" si="93"/>
        <v>0.54545454545454541</v>
      </c>
      <c r="Q56" s="64">
        <f t="shared" si="93"/>
        <v>-0.11764705882352944</v>
      </c>
      <c r="R56" s="64">
        <f t="shared" si="93"/>
        <v>0.83333333333333326</v>
      </c>
      <c r="S56" s="64">
        <f t="shared" si="93"/>
        <v>-0.52727272727272734</v>
      </c>
      <c r="T56" s="64">
        <f>T41/S41-1</f>
        <v>0.23076923076923084</v>
      </c>
      <c r="Y56" s="66" t="s">
        <v>191</v>
      </c>
      <c r="Z56" s="66" t="s">
        <v>191</v>
      </c>
      <c r="AA56" s="66" t="s">
        <v>191</v>
      </c>
      <c r="AB56" s="66" t="s">
        <v>191</v>
      </c>
    </row>
    <row r="58" spans="2:28">
      <c r="B58" s="33" t="s">
        <v>74</v>
      </c>
    </row>
    <row r="59" spans="2:28" s="2" customFormat="1">
      <c r="B59" s="2" t="s">
        <v>6</v>
      </c>
      <c r="F59" s="26">
        <v>1280.9000000000001</v>
      </c>
      <c r="H59" s="26">
        <v>855.5</v>
      </c>
      <c r="I59" s="26">
        <v>1156.4000000000001</v>
      </c>
      <c r="J59" s="26">
        <v>2307.6999999999998</v>
      </c>
      <c r="K59" s="26">
        <v>2394.4</v>
      </c>
      <c r="L59" s="26">
        <v>1872.8</v>
      </c>
      <c r="M59" s="26">
        <v>1596.8</v>
      </c>
      <c r="N59" s="26">
        <v>1883.1</v>
      </c>
      <c r="O59" s="26">
        <v>1123.2</v>
      </c>
      <c r="P59" s="26">
        <v>1351.2</v>
      </c>
      <c r="Q59" s="26">
        <v>1596.8</v>
      </c>
      <c r="R59" s="26">
        <v>1818.3</v>
      </c>
      <c r="S59" s="26">
        <v>1129.8</v>
      </c>
      <c r="T59" s="26">
        <v>1041.3</v>
      </c>
      <c r="AA59" s="26">
        <f>N59</f>
        <v>1883.1</v>
      </c>
      <c r="AB59" s="26">
        <f>R59</f>
        <v>1818.3</v>
      </c>
    </row>
    <row r="60" spans="2:28" s="2" customFormat="1">
      <c r="B60" s="2" t="s">
        <v>90</v>
      </c>
      <c r="F60" s="26">
        <v>1743.4</v>
      </c>
      <c r="H60" s="26">
        <v>1561.7</v>
      </c>
      <c r="I60" s="26">
        <v>957.4</v>
      </c>
      <c r="J60" s="26">
        <v>410.9</v>
      </c>
      <c r="K60" s="26">
        <v>60.1</v>
      </c>
      <c r="L60" s="26">
        <v>125.7</v>
      </c>
      <c r="M60" s="26">
        <v>855.3</v>
      </c>
      <c r="N60" s="26">
        <v>817.5</v>
      </c>
      <c r="O60" s="26">
        <v>1288.4000000000001</v>
      </c>
      <c r="P60" s="26">
        <v>1092.8</v>
      </c>
      <c r="Q60" s="26">
        <v>855.3</v>
      </c>
      <c r="R60" s="26">
        <v>750.8</v>
      </c>
      <c r="S60" s="26">
        <v>802.9</v>
      </c>
      <c r="T60" s="26">
        <v>753.8</v>
      </c>
      <c r="AA60" s="26">
        <f>N60</f>
        <v>817.5</v>
      </c>
      <c r="AB60" s="26">
        <f>R60</f>
        <v>750.8</v>
      </c>
    </row>
    <row r="61" spans="2:28">
      <c r="B61" s="3" t="s">
        <v>91</v>
      </c>
      <c r="F61" s="27">
        <v>318</v>
      </c>
      <c r="H61" s="27">
        <v>329.4</v>
      </c>
      <c r="I61" s="27">
        <v>335.1</v>
      </c>
      <c r="J61" s="27">
        <v>294.2</v>
      </c>
      <c r="K61" s="27">
        <v>272.39999999999998</v>
      </c>
      <c r="L61" s="27">
        <v>230.9</v>
      </c>
      <c r="M61" s="27">
        <v>203.1</v>
      </c>
      <c r="N61" s="27">
        <v>203.4</v>
      </c>
      <c r="O61" s="27">
        <v>190.2</v>
      </c>
      <c r="P61" s="27">
        <v>198.8</v>
      </c>
      <c r="Q61" s="27">
        <v>203.1</v>
      </c>
      <c r="R61" s="27">
        <v>189</v>
      </c>
      <c r="S61" s="27">
        <v>197</v>
      </c>
      <c r="T61" s="27">
        <v>240.4</v>
      </c>
      <c r="AA61" s="27">
        <f t="shared" ref="AA61:AA65" si="94">N61</f>
        <v>203.4</v>
      </c>
      <c r="AB61" s="27">
        <f>R61</f>
        <v>189</v>
      </c>
    </row>
    <row r="62" spans="2:28">
      <c r="B62" s="3" t="s">
        <v>92</v>
      </c>
      <c r="F62" s="27">
        <v>5.4</v>
      </c>
      <c r="H62" s="27">
        <v>5.2</v>
      </c>
      <c r="I62" s="27">
        <v>3.2</v>
      </c>
      <c r="J62" s="27">
        <v>1.4</v>
      </c>
      <c r="K62" s="27">
        <v>0.7</v>
      </c>
      <c r="L62" s="27">
        <v>1</v>
      </c>
      <c r="M62" s="27">
        <v>0.5</v>
      </c>
      <c r="N62" s="27">
        <v>8.3000000000000007</v>
      </c>
      <c r="O62" s="27">
        <v>1.6</v>
      </c>
      <c r="P62" s="27">
        <v>4.3</v>
      </c>
      <c r="Q62" s="27">
        <v>0.5</v>
      </c>
      <c r="R62" s="27">
        <v>0.1</v>
      </c>
      <c r="S62" s="27">
        <v>9.6999999999999993</v>
      </c>
      <c r="T62" s="27">
        <v>2.5</v>
      </c>
      <c r="AA62" s="27">
        <f t="shared" si="94"/>
        <v>8.3000000000000007</v>
      </c>
      <c r="AB62" s="27">
        <f t="shared" ref="AB62:AB84" si="95">R62</f>
        <v>0.1</v>
      </c>
    </row>
    <row r="63" spans="2:28">
      <c r="B63" s="3" t="s">
        <v>93</v>
      </c>
      <c r="F63" s="27">
        <v>1.2</v>
      </c>
      <c r="H63" s="27">
        <v>1.3</v>
      </c>
      <c r="I63" s="27">
        <v>1.3</v>
      </c>
      <c r="J63" s="27">
        <v>1.5</v>
      </c>
      <c r="K63" s="27">
        <v>1.1000000000000001</v>
      </c>
      <c r="L63" s="27">
        <v>1</v>
      </c>
      <c r="M63" s="27">
        <v>7.9</v>
      </c>
      <c r="N63" s="27">
        <v>8.5</v>
      </c>
      <c r="O63" s="27">
        <v>6.6</v>
      </c>
      <c r="P63" s="27">
        <v>7.4</v>
      </c>
      <c r="Q63" s="27">
        <v>7.9</v>
      </c>
      <c r="R63" s="27">
        <v>9.6</v>
      </c>
      <c r="S63" s="27">
        <v>9.8000000000000007</v>
      </c>
      <c r="T63" s="27">
        <v>5.8</v>
      </c>
      <c r="AA63" s="27">
        <f t="shared" si="94"/>
        <v>8.5</v>
      </c>
      <c r="AB63" s="27">
        <f t="shared" si="95"/>
        <v>9.6</v>
      </c>
    </row>
    <row r="64" spans="2:28">
      <c r="B64" s="3" t="s">
        <v>196</v>
      </c>
      <c r="F64" s="27">
        <v>218.5</v>
      </c>
      <c r="H64" s="27">
        <v>141.6</v>
      </c>
      <c r="I64" s="27">
        <v>71.8</v>
      </c>
      <c r="J64" s="27">
        <v>4</v>
      </c>
      <c r="K64" s="27">
        <v>4</v>
      </c>
      <c r="L64" s="27">
        <v>4.0999999999999996</v>
      </c>
      <c r="M64" s="27">
        <v>0</v>
      </c>
      <c r="N64" s="27">
        <v>0</v>
      </c>
      <c r="O64" s="27">
        <v>4.2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AA64" s="27">
        <f t="shared" si="94"/>
        <v>0</v>
      </c>
      <c r="AB64" s="27">
        <f>R64</f>
        <v>0</v>
      </c>
    </row>
    <row r="65" spans="2:28">
      <c r="B65" s="3" t="s">
        <v>94</v>
      </c>
      <c r="F65" s="27">
        <v>358</v>
      </c>
      <c r="H65" s="27">
        <v>488.1</v>
      </c>
      <c r="I65" s="27">
        <v>556.20000000000005</v>
      </c>
      <c r="J65" s="27">
        <v>495.7</v>
      </c>
      <c r="K65" s="27">
        <v>469.5</v>
      </c>
      <c r="L65" s="27">
        <v>402.8</v>
      </c>
      <c r="M65" s="27">
        <v>618.79999999999995</v>
      </c>
      <c r="N65" s="27">
        <v>461.8</v>
      </c>
      <c r="O65" s="27">
        <v>517.1</v>
      </c>
      <c r="P65" s="27">
        <v>630.70000000000005</v>
      </c>
      <c r="Q65" s="27">
        <v>618.79999999999995</v>
      </c>
      <c r="R65" s="27">
        <v>582.29999999999995</v>
      </c>
      <c r="S65" s="27">
        <v>615.5</v>
      </c>
      <c r="T65" s="27">
        <v>620</v>
      </c>
      <c r="AA65" s="27">
        <f t="shared" si="94"/>
        <v>461.8</v>
      </c>
      <c r="AB65" s="27">
        <f t="shared" si="95"/>
        <v>582.29999999999995</v>
      </c>
    </row>
    <row r="66" spans="2:28" s="2" customFormat="1">
      <c r="B66" s="2" t="s">
        <v>95</v>
      </c>
      <c r="F66" s="26">
        <v>2507</v>
      </c>
      <c r="H66" s="26">
        <v>3004.3</v>
      </c>
      <c r="I66" s="26">
        <v>3082.7</v>
      </c>
      <c r="J66" s="26">
        <v>2384</v>
      </c>
      <c r="K66" s="26">
        <v>2925.3</v>
      </c>
      <c r="L66" s="26">
        <v>3128.8</v>
      </c>
      <c r="M66" s="26">
        <v>2305</v>
      </c>
      <c r="N66" s="26">
        <v>2437.9</v>
      </c>
      <c r="O66" s="26">
        <v>2483.3000000000002</v>
      </c>
      <c r="P66" s="26">
        <v>2315</v>
      </c>
      <c r="Q66" s="26">
        <v>2305</v>
      </c>
      <c r="R66" s="26">
        <v>1986</v>
      </c>
      <c r="S66" s="26">
        <v>2222.8000000000002</v>
      </c>
      <c r="T66" s="26">
        <v>2392.9</v>
      </c>
      <c r="AA66" s="26">
        <f>N66</f>
        <v>2437.9</v>
      </c>
      <c r="AB66" s="26">
        <f>R66</f>
        <v>1986</v>
      </c>
    </row>
    <row r="67" spans="2:28">
      <c r="B67" s="3" t="s">
        <v>63</v>
      </c>
      <c r="F67" s="27">
        <v>95.3</v>
      </c>
      <c r="H67" s="27">
        <v>88.7</v>
      </c>
      <c r="I67" s="27">
        <v>89.8</v>
      </c>
      <c r="J67" s="27">
        <v>92.6</v>
      </c>
      <c r="K67" s="27">
        <v>96.9</v>
      </c>
      <c r="L67" s="27">
        <v>95.1</v>
      </c>
      <c r="M67" s="27">
        <v>128.19999999999999</v>
      </c>
      <c r="N67" s="27">
        <v>114.1</v>
      </c>
      <c r="O67" s="27">
        <v>108.8</v>
      </c>
      <c r="P67" s="27">
        <v>134.69999999999999</v>
      </c>
      <c r="Q67" s="27">
        <v>128.19999999999999</v>
      </c>
      <c r="R67" s="27">
        <v>114.5</v>
      </c>
      <c r="S67" s="27">
        <v>105</v>
      </c>
      <c r="T67" s="27">
        <v>101.9</v>
      </c>
      <c r="AA67" s="27">
        <f t="shared" ref="AA67:AA70" si="96">N67</f>
        <v>114.1</v>
      </c>
      <c r="AB67" s="27">
        <f t="shared" si="95"/>
        <v>114.5</v>
      </c>
    </row>
    <row r="68" spans="2:28">
      <c r="B68" s="3" t="s">
        <v>185</v>
      </c>
      <c r="F68" s="27">
        <v>339.9</v>
      </c>
      <c r="H68" s="27">
        <v>306.39999999999998</v>
      </c>
      <c r="I68" s="27">
        <v>273.39999999999998</v>
      </c>
      <c r="J68" s="27">
        <v>0.2</v>
      </c>
      <c r="K68" s="27">
        <v>0.2</v>
      </c>
      <c r="L68" s="27">
        <v>0.2</v>
      </c>
      <c r="M68" s="27">
        <v>101.9</v>
      </c>
      <c r="N68" s="27">
        <v>0.2</v>
      </c>
      <c r="O68" s="27">
        <v>0.2</v>
      </c>
      <c r="P68" s="27">
        <v>0.2</v>
      </c>
      <c r="Q68" s="27">
        <v>101.9</v>
      </c>
      <c r="R68" s="3">
        <v>0.6</v>
      </c>
      <c r="S68" s="27">
        <v>0</v>
      </c>
      <c r="T68" s="27">
        <v>0</v>
      </c>
      <c r="AA68" s="27">
        <f t="shared" si="96"/>
        <v>0.2</v>
      </c>
      <c r="AB68" s="27">
        <f t="shared" si="95"/>
        <v>0.6</v>
      </c>
    </row>
    <row r="69" spans="2:28">
      <c r="B69" s="3" t="s">
        <v>96</v>
      </c>
      <c r="F69" s="27">
        <v>203.5</v>
      </c>
      <c r="H69" s="27">
        <v>227</v>
      </c>
      <c r="I69" s="27">
        <v>209.9</v>
      </c>
      <c r="J69" s="27">
        <v>199.4</v>
      </c>
      <c r="K69" s="27">
        <v>217.6</v>
      </c>
      <c r="L69" s="27">
        <v>219</v>
      </c>
      <c r="M69" s="27">
        <v>202.3</v>
      </c>
      <c r="N69" s="27">
        <v>180.9</v>
      </c>
      <c r="O69" s="27">
        <v>179.4</v>
      </c>
      <c r="P69" s="27">
        <v>194.2</v>
      </c>
      <c r="Q69" s="27">
        <v>202.3</v>
      </c>
      <c r="R69" s="3">
        <v>193.7</v>
      </c>
      <c r="S69" s="27">
        <v>217</v>
      </c>
      <c r="T69" s="27">
        <v>209.3</v>
      </c>
      <c r="AA69" s="27">
        <f t="shared" si="96"/>
        <v>180.9</v>
      </c>
      <c r="AB69" s="27">
        <f t="shared" si="95"/>
        <v>193.7</v>
      </c>
    </row>
    <row r="70" spans="2:28">
      <c r="B70" s="3" t="s">
        <v>97</v>
      </c>
      <c r="F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3">
        <v>230.9</v>
      </c>
      <c r="S70" s="27">
        <v>227.1</v>
      </c>
      <c r="T70" s="27">
        <v>0</v>
      </c>
      <c r="AA70" s="27">
        <f t="shared" si="96"/>
        <v>0</v>
      </c>
      <c r="AB70" s="27">
        <f t="shared" si="95"/>
        <v>230.9</v>
      </c>
    </row>
    <row r="71" spans="2:28">
      <c r="B71" s="3" t="s">
        <v>104</v>
      </c>
      <c r="F71" s="27">
        <f t="shared" ref="F71:T71" si="97">SUM(F59:F70)</f>
        <v>7071.0999999999995</v>
      </c>
      <c r="H71" s="27">
        <f t="shared" si="97"/>
        <v>7009.2</v>
      </c>
      <c r="I71" s="27">
        <f t="shared" si="97"/>
        <v>6737.2</v>
      </c>
      <c r="J71" s="27">
        <f t="shared" si="97"/>
        <v>6191.5999999999995</v>
      </c>
      <c r="K71" s="27">
        <f t="shared" si="97"/>
        <v>6442.2</v>
      </c>
      <c r="L71" s="27">
        <f t="shared" si="97"/>
        <v>6081.4000000000005</v>
      </c>
      <c r="M71" s="27">
        <f t="shared" si="97"/>
        <v>6019.7999999999993</v>
      </c>
      <c r="N71" s="27">
        <f t="shared" si="97"/>
        <v>6115.7</v>
      </c>
      <c r="O71" s="27">
        <f t="shared" si="97"/>
        <v>5903</v>
      </c>
      <c r="P71" s="27">
        <f t="shared" si="97"/>
        <v>5929.3</v>
      </c>
      <c r="Q71" s="27">
        <f t="shared" si="97"/>
        <v>6019.7999999999993</v>
      </c>
      <c r="R71" s="27">
        <f t="shared" si="97"/>
        <v>5875.7999999999993</v>
      </c>
      <c r="S71" s="27">
        <f t="shared" si="97"/>
        <v>5536.6</v>
      </c>
      <c r="T71" s="27">
        <f t="shared" si="97"/>
        <v>5367.9000000000005</v>
      </c>
      <c r="AA71" s="27">
        <f>SUM(AA59:AA70)</f>
        <v>6115.7</v>
      </c>
      <c r="AB71" s="27">
        <f>SUM(AB59:AB70)</f>
        <v>5875.7999999999993</v>
      </c>
    </row>
    <row r="72" spans="2:28" s="2" customFormat="1">
      <c r="B72" s="2" t="s">
        <v>90</v>
      </c>
      <c r="F72" s="26">
        <v>183.5</v>
      </c>
      <c r="H72" s="26">
        <v>61.6</v>
      </c>
      <c r="I72" s="26">
        <v>61.6</v>
      </c>
      <c r="J72" s="26">
        <v>61.3</v>
      </c>
      <c r="K72" s="26">
        <v>46.1</v>
      </c>
      <c r="L72" s="26">
        <v>0</v>
      </c>
      <c r="M72" s="26">
        <v>51.6</v>
      </c>
      <c r="N72" s="26">
        <v>51.7</v>
      </c>
      <c r="O72" s="26">
        <v>51.7</v>
      </c>
      <c r="P72" s="26">
        <v>47.3</v>
      </c>
      <c r="Q72" s="26">
        <v>51.6</v>
      </c>
      <c r="R72" s="26">
        <v>65.599999999999994</v>
      </c>
      <c r="S72" s="26">
        <v>169.9</v>
      </c>
      <c r="T72" s="26">
        <v>169.9</v>
      </c>
      <c r="AA72" s="26">
        <f>N72</f>
        <v>51.7</v>
      </c>
      <c r="AB72" s="26">
        <f>R72</f>
        <v>65.599999999999994</v>
      </c>
    </row>
    <row r="73" spans="2:28">
      <c r="B73" s="3" t="s">
        <v>94</v>
      </c>
      <c r="F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0.1</v>
      </c>
      <c r="Q73" s="27">
        <v>0</v>
      </c>
      <c r="R73" s="27">
        <v>0</v>
      </c>
      <c r="S73" s="27">
        <v>1.6</v>
      </c>
      <c r="T73" s="27">
        <v>1.5</v>
      </c>
      <c r="AA73" s="27">
        <f t="shared" ref="AA73:AA83" si="98">N73</f>
        <v>0</v>
      </c>
      <c r="AB73" s="27">
        <f t="shared" si="95"/>
        <v>0</v>
      </c>
    </row>
    <row r="74" spans="2:28" s="2" customFormat="1">
      <c r="B74" s="2" t="s">
        <v>92</v>
      </c>
      <c r="F74" s="26">
        <v>4.0999999999999996</v>
      </c>
      <c r="H74" s="26">
        <v>2.1</v>
      </c>
      <c r="I74" s="26">
        <v>1.8</v>
      </c>
      <c r="J74" s="26">
        <v>0.7</v>
      </c>
      <c r="K74" s="26">
        <v>0.5</v>
      </c>
      <c r="L74" s="26">
        <v>0.4</v>
      </c>
      <c r="M74" s="26">
        <v>0</v>
      </c>
      <c r="N74" s="26">
        <v>1.3</v>
      </c>
      <c r="O74" s="26">
        <v>0.1</v>
      </c>
      <c r="P74" s="26">
        <v>23</v>
      </c>
      <c r="Q74" s="26">
        <v>0</v>
      </c>
      <c r="R74" s="26">
        <v>0</v>
      </c>
      <c r="S74" s="26">
        <v>1.6</v>
      </c>
      <c r="T74" s="26">
        <v>3.2</v>
      </c>
      <c r="AA74" s="26">
        <f>N74</f>
        <v>1.3</v>
      </c>
      <c r="AB74" s="26">
        <f>R74</f>
        <v>0</v>
      </c>
    </row>
    <row r="75" spans="2:28">
      <c r="B75" s="3" t="s">
        <v>196</v>
      </c>
      <c r="F75" s="27">
        <v>17.399999999999999</v>
      </c>
      <c r="H75" s="27">
        <v>15.5</v>
      </c>
      <c r="I75" s="27">
        <v>14.3</v>
      </c>
      <c r="J75" s="27">
        <v>13.6</v>
      </c>
      <c r="K75" s="27">
        <v>12.4</v>
      </c>
      <c r="L75" s="27">
        <v>11.7</v>
      </c>
      <c r="M75" s="27">
        <v>0</v>
      </c>
      <c r="N75" s="27">
        <v>0</v>
      </c>
      <c r="O75" s="27">
        <v>8.4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AA75" s="27">
        <f>N75</f>
        <v>0</v>
      </c>
      <c r="AB75" s="27">
        <f>R75</f>
        <v>0</v>
      </c>
    </row>
    <row r="76" spans="2:28">
      <c r="B76" s="3" t="s">
        <v>185</v>
      </c>
      <c r="F76" s="27">
        <v>9.8000000000000007</v>
      </c>
      <c r="H76" s="27">
        <v>9.9</v>
      </c>
      <c r="I76" s="27">
        <v>9</v>
      </c>
      <c r="J76" s="27">
        <v>0.8</v>
      </c>
      <c r="K76" s="27">
        <v>0.9</v>
      </c>
      <c r="L76" s="27">
        <v>1.2</v>
      </c>
      <c r="M76" s="27">
        <v>2.4</v>
      </c>
      <c r="N76" s="27">
        <v>1.5</v>
      </c>
      <c r="O76" s="27">
        <v>16.600000000000001</v>
      </c>
      <c r="P76" s="27">
        <v>0</v>
      </c>
      <c r="Q76" s="27">
        <v>2.4</v>
      </c>
      <c r="R76" s="27">
        <v>2.4</v>
      </c>
      <c r="S76" s="27">
        <v>0</v>
      </c>
      <c r="T76" s="27">
        <v>0</v>
      </c>
      <c r="AA76" s="27">
        <f t="shared" si="98"/>
        <v>1.5</v>
      </c>
      <c r="AB76" s="27">
        <f t="shared" si="95"/>
        <v>2.4</v>
      </c>
    </row>
    <row r="77" spans="2:28">
      <c r="B77" s="3" t="s">
        <v>93</v>
      </c>
      <c r="F77" s="27">
        <v>10.5</v>
      </c>
      <c r="H77" s="27">
        <v>9.9</v>
      </c>
      <c r="I77" s="27">
        <v>9.6</v>
      </c>
      <c r="J77" s="27">
        <v>9.1999999999999993</v>
      </c>
      <c r="K77" s="27">
        <v>6.8</v>
      </c>
      <c r="L77" s="27">
        <v>6.6</v>
      </c>
      <c r="M77" s="27">
        <v>25.4</v>
      </c>
      <c r="N77" s="27">
        <v>21.4</v>
      </c>
      <c r="O77" s="27">
        <v>21.5</v>
      </c>
      <c r="P77" s="27">
        <v>42.1</v>
      </c>
      <c r="Q77" s="27">
        <v>25.4</v>
      </c>
      <c r="R77" s="27">
        <v>22.4</v>
      </c>
      <c r="S77" s="27">
        <v>23.4</v>
      </c>
      <c r="T77" s="27">
        <v>14.5</v>
      </c>
      <c r="AA77" s="27">
        <f t="shared" si="98"/>
        <v>21.4</v>
      </c>
      <c r="AB77" s="27">
        <f t="shared" si="95"/>
        <v>22.4</v>
      </c>
    </row>
    <row r="78" spans="2:28">
      <c r="B78" s="3" t="s">
        <v>91</v>
      </c>
      <c r="F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0.9</v>
      </c>
      <c r="AA78" s="27">
        <f t="shared" si="98"/>
        <v>0</v>
      </c>
      <c r="AB78" s="27">
        <f t="shared" si="95"/>
        <v>0</v>
      </c>
    </row>
    <row r="79" spans="2:28">
      <c r="B79" s="3" t="s">
        <v>99</v>
      </c>
      <c r="F79" s="27">
        <v>21.6</v>
      </c>
      <c r="H79" s="27">
        <v>22.4</v>
      </c>
      <c r="I79" s="27">
        <v>21.8</v>
      </c>
      <c r="J79" s="27">
        <v>35</v>
      </c>
      <c r="K79" s="27">
        <v>93.6</v>
      </c>
      <c r="L79" s="27">
        <v>160.30000000000001</v>
      </c>
      <c r="M79" s="27">
        <v>77</v>
      </c>
      <c r="N79" s="27">
        <v>104.6</v>
      </c>
      <c r="O79" s="27">
        <v>124.4</v>
      </c>
      <c r="P79" s="27">
        <v>99.9</v>
      </c>
      <c r="Q79" s="27">
        <v>77</v>
      </c>
      <c r="R79" s="27">
        <v>97.6</v>
      </c>
      <c r="S79" s="27">
        <v>22.8</v>
      </c>
      <c r="T79" s="27">
        <v>23.3</v>
      </c>
      <c r="AA79" s="27">
        <f t="shared" si="98"/>
        <v>104.6</v>
      </c>
      <c r="AB79" s="27">
        <f t="shared" si="95"/>
        <v>97.6</v>
      </c>
    </row>
    <row r="80" spans="2:28">
      <c r="B80" s="3" t="s">
        <v>96</v>
      </c>
      <c r="F80" s="27">
        <v>105.6</v>
      </c>
      <c r="H80" s="27">
        <v>97</v>
      </c>
      <c r="I80" s="27">
        <v>93.1</v>
      </c>
      <c r="J80" s="27">
        <v>93.9</v>
      </c>
      <c r="K80" s="27">
        <v>76</v>
      </c>
      <c r="L80" s="27">
        <v>77.2</v>
      </c>
      <c r="M80" s="27">
        <v>121.2</v>
      </c>
      <c r="N80" s="27">
        <v>120.7</v>
      </c>
      <c r="O80" s="27">
        <v>103.9</v>
      </c>
      <c r="P80" s="27">
        <v>126.9</v>
      </c>
      <c r="Q80" s="27">
        <v>121.2</v>
      </c>
      <c r="R80" s="27">
        <v>125.6</v>
      </c>
      <c r="S80" s="27">
        <v>142.9</v>
      </c>
      <c r="T80" s="27">
        <v>165</v>
      </c>
      <c r="AA80" s="27">
        <f t="shared" si="98"/>
        <v>120.7</v>
      </c>
      <c r="AB80" s="27">
        <f t="shared" si="95"/>
        <v>125.6</v>
      </c>
    </row>
    <row r="81" spans="2:28">
      <c r="B81" s="3" t="s">
        <v>100</v>
      </c>
      <c r="F81" s="27">
        <v>6.3</v>
      </c>
      <c r="H81" s="27">
        <v>8.4</v>
      </c>
      <c r="I81" s="27">
        <v>8</v>
      </c>
      <c r="J81" s="27">
        <v>8.1</v>
      </c>
      <c r="K81" s="27">
        <v>8.4</v>
      </c>
      <c r="L81" s="27">
        <v>8.8000000000000007</v>
      </c>
      <c r="M81" s="27">
        <v>6.6</v>
      </c>
      <c r="N81" s="27">
        <v>5.2</v>
      </c>
      <c r="O81" s="27">
        <v>5.4</v>
      </c>
      <c r="P81" s="27">
        <v>6.1</v>
      </c>
      <c r="Q81" s="27">
        <v>6.6</v>
      </c>
      <c r="R81" s="27">
        <v>4.4000000000000004</v>
      </c>
      <c r="S81" s="27">
        <v>6.9</v>
      </c>
      <c r="T81" s="27">
        <v>9.3000000000000007</v>
      </c>
      <c r="AA81" s="27">
        <f t="shared" si="98"/>
        <v>5.2</v>
      </c>
      <c r="AB81" s="27">
        <f t="shared" si="95"/>
        <v>4.4000000000000004</v>
      </c>
    </row>
    <row r="82" spans="2:28">
      <c r="B82" s="3" t="s">
        <v>101</v>
      </c>
      <c r="F82" s="27">
        <v>1964.7</v>
      </c>
      <c r="H82" s="27">
        <v>1989.6</v>
      </c>
      <c r="I82" s="27">
        <v>2017.1</v>
      </c>
      <c r="J82" s="27">
        <v>2058.6</v>
      </c>
      <c r="K82" s="27">
        <v>2035.5</v>
      </c>
      <c r="L82" s="27">
        <v>1943.7</v>
      </c>
      <c r="M82" s="27">
        <v>1902</v>
      </c>
      <c r="N82" s="27">
        <v>1956</v>
      </c>
      <c r="O82" s="27">
        <v>1934.3</v>
      </c>
      <c r="P82" s="27">
        <v>1913.1</v>
      </c>
      <c r="Q82" s="27">
        <v>1902</v>
      </c>
      <c r="R82" s="27">
        <v>1687.6</v>
      </c>
      <c r="S82" s="27">
        <v>1679.3</v>
      </c>
      <c r="T82" s="27">
        <v>1652.5</v>
      </c>
      <c r="AA82" s="27">
        <f t="shared" si="98"/>
        <v>1956</v>
      </c>
      <c r="AB82" s="27">
        <f t="shared" si="95"/>
        <v>1687.6</v>
      </c>
    </row>
    <row r="83" spans="2:28">
      <c r="B83" s="3" t="s">
        <v>102</v>
      </c>
      <c r="F83" s="27">
        <v>1898.8</v>
      </c>
      <c r="H83" s="27">
        <v>1998.5</v>
      </c>
      <c r="I83" s="27">
        <v>2042.1</v>
      </c>
      <c r="J83" s="27">
        <v>2051.6999999999998</v>
      </c>
      <c r="K83" s="27">
        <v>2070.1</v>
      </c>
      <c r="L83" s="27">
        <v>1972.4</v>
      </c>
      <c r="M83" s="27">
        <v>2115.9</v>
      </c>
      <c r="N83" s="27">
        <v>2075.6</v>
      </c>
      <c r="O83" s="27">
        <v>2079.3000000000002</v>
      </c>
      <c r="P83" s="27">
        <v>2097.6999999999998</v>
      </c>
      <c r="Q83" s="27">
        <v>2115.9</v>
      </c>
      <c r="R83" s="27">
        <v>2213.4</v>
      </c>
      <c r="S83" s="27">
        <v>2227.5</v>
      </c>
      <c r="T83" s="27">
        <v>2231.3000000000002</v>
      </c>
      <c r="AA83" s="27">
        <f t="shared" si="98"/>
        <v>2075.6</v>
      </c>
      <c r="AB83" s="27">
        <f t="shared" si="95"/>
        <v>2213.4</v>
      </c>
    </row>
    <row r="84" spans="2:28">
      <c r="B84" s="3" t="s">
        <v>103</v>
      </c>
      <c r="F84" s="27">
        <v>0</v>
      </c>
      <c r="H84" s="27">
        <v>49.3</v>
      </c>
      <c r="I84" s="27">
        <v>46.9</v>
      </c>
      <c r="J84" s="27">
        <v>48</v>
      </c>
      <c r="K84" s="27">
        <v>63.6</v>
      </c>
      <c r="L84" s="27">
        <v>61.7</v>
      </c>
      <c r="M84" s="27">
        <v>60.8</v>
      </c>
      <c r="N84" s="27">
        <v>62.3</v>
      </c>
      <c r="O84" s="27">
        <v>59.5</v>
      </c>
      <c r="P84" s="27">
        <v>55.8</v>
      </c>
      <c r="Q84" s="27">
        <v>60.8</v>
      </c>
      <c r="R84" s="27">
        <v>60.2</v>
      </c>
      <c r="S84" s="27">
        <v>55.9</v>
      </c>
      <c r="T84" s="27">
        <v>59.5</v>
      </c>
      <c r="AA84" s="27">
        <f>N84</f>
        <v>62.3</v>
      </c>
      <c r="AB84" s="27">
        <f t="shared" si="95"/>
        <v>60.2</v>
      </c>
    </row>
    <row r="85" spans="2:28">
      <c r="B85" s="3" t="s">
        <v>98</v>
      </c>
      <c r="F85" s="27">
        <f t="shared" ref="F85:T85" si="99">SUM(F72:F84)+F71</f>
        <v>11293.4</v>
      </c>
      <c r="H85" s="27">
        <f t="shared" si="99"/>
        <v>11273.4</v>
      </c>
      <c r="I85" s="27">
        <f t="shared" si="99"/>
        <v>11062.5</v>
      </c>
      <c r="J85" s="27">
        <f t="shared" si="99"/>
        <v>10572.5</v>
      </c>
      <c r="K85" s="27">
        <f t="shared" si="99"/>
        <v>10856.099999999999</v>
      </c>
      <c r="L85" s="27">
        <f t="shared" si="99"/>
        <v>10325.400000000001</v>
      </c>
      <c r="M85" s="27">
        <f t="shared" si="99"/>
        <v>10382.700000000001</v>
      </c>
      <c r="N85" s="27">
        <f t="shared" si="99"/>
        <v>10516</v>
      </c>
      <c r="O85" s="27">
        <f t="shared" si="99"/>
        <v>10308.1</v>
      </c>
      <c r="P85" s="27">
        <f t="shared" si="99"/>
        <v>10341.299999999999</v>
      </c>
      <c r="Q85" s="27">
        <f t="shared" si="99"/>
        <v>10382.700000000001</v>
      </c>
      <c r="R85" s="27">
        <f t="shared" si="99"/>
        <v>10155</v>
      </c>
      <c r="S85" s="27">
        <f t="shared" si="99"/>
        <v>9868.4</v>
      </c>
      <c r="T85" s="27">
        <f t="shared" si="99"/>
        <v>9698.7999999999993</v>
      </c>
      <c r="AA85" s="27">
        <f>SUM(AA72:AA84)+AA71</f>
        <v>10516</v>
      </c>
      <c r="AB85" s="27">
        <f>SUM(AB72:AB84)+AB71</f>
        <v>10155</v>
      </c>
    </row>
    <row r="86" spans="2:28">
      <c r="H86" s="27"/>
      <c r="I86" s="27"/>
      <c r="L86" s="27"/>
      <c r="P86" s="27"/>
      <c r="Q86" s="27"/>
      <c r="R86" s="27"/>
      <c r="S86" s="27"/>
      <c r="T86" s="27"/>
    </row>
    <row r="87" spans="2:28">
      <c r="B87" s="3" t="s">
        <v>105</v>
      </c>
      <c r="F87" s="27">
        <v>892.1</v>
      </c>
      <c r="H87" s="27">
        <v>925.6</v>
      </c>
      <c r="I87" s="27">
        <v>856.6</v>
      </c>
      <c r="J87" s="27">
        <v>832.7</v>
      </c>
      <c r="K87" s="27">
        <v>860.8</v>
      </c>
      <c r="L87" s="27">
        <v>787.1</v>
      </c>
      <c r="M87" s="27">
        <v>548.79999999999995</v>
      </c>
      <c r="N87" s="27">
        <v>502.3</v>
      </c>
      <c r="O87" s="27">
        <v>524.4</v>
      </c>
      <c r="P87" s="27">
        <v>515.4</v>
      </c>
      <c r="Q87" s="27">
        <v>548.79999999999995</v>
      </c>
      <c r="R87" s="27">
        <v>495.2</v>
      </c>
      <c r="S87" s="27">
        <v>562.70000000000005</v>
      </c>
      <c r="T87" s="27">
        <v>727.4</v>
      </c>
      <c r="AA87" s="27">
        <f>N87</f>
        <v>502.3</v>
      </c>
      <c r="AB87" s="27">
        <f>R87</f>
        <v>495.2</v>
      </c>
    </row>
    <row r="88" spans="2:28">
      <c r="B88" s="3" t="s">
        <v>106</v>
      </c>
      <c r="F88" s="27">
        <v>0</v>
      </c>
      <c r="H88" s="27">
        <v>0</v>
      </c>
      <c r="I88" s="27">
        <v>0</v>
      </c>
      <c r="J88" s="27">
        <v>0</v>
      </c>
      <c r="K88" s="27">
        <v>0</v>
      </c>
      <c r="L88" s="3">
        <v>0</v>
      </c>
      <c r="M88" s="27">
        <v>6.5</v>
      </c>
      <c r="N88" s="27">
        <v>0</v>
      </c>
      <c r="O88" s="27">
        <v>15.9</v>
      </c>
      <c r="P88" s="27">
        <v>2</v>
      </c>
      <c r="Q88" s="27">
        <v>6.5</v>
      </c>
      <c r="R88" s="27">
        <v>14.8</v>
      </c>
      <c r="S88" s="27">
        <v>14.1</v>
      </c>
      <c r="T88" s="27">
        <v>12.3</v>
      </c>
      <c r="AA88" s="27">
        <f t="shared" ref="AA88:AA101" si="100">N88</f>
        <v>0</v>
      </c>
      <c r="AB88" s="27">
        <f t="shared" ref="AB88:AB101" si="101">R88</f>
        <v>14.8</v>
      </c>
    </row>
    <row r="89" spans="2:28">
      <c r="B89" s="3" t="s">
        <v>107</v>
      </c>
      <c r="F89" s="27">
        <v>0</v>
      </c>
      <c r="H89" s="27">
        <v>9.5</v>
      </c>
      <c r="I89" s="27">
        <v>9.1</v>
      </c>
      <c r="J89" s="27">
        <v>8</v>
      </c>
      <c r="K89" s="27">
        <v>9.4</v>
      </c>
      <c r="L89" s="27">
        <v>9.6</v>
      </c>
      <c r="M89" s="27">
        <v>11.2</v>
      </c>
      <c r="N89" s="27">
        <v>11.4</v>
      </c>
      <c r="O89" s="27">
        <v>11.4</v>
      </c>
      <c r="P89" s="27">
        <v>10.8</v>
      </c>
      <c r="Q89" s="27">
        <v>11.2</v>
      </c>
      <c r="R89" s="27">
        <v>11.5</v>
      </c>
      <c r="S89" s="27">
        <v>11</v>
      </c>
      <c r="T89" s="27">
        <v>11.3</v>
      </c>
      <c r="AA89" s="27">
        <f t="shared" si="100"/>
        <v>11.4</v>
      </c>
      <c r="AB89" s="27">
        <f t="shared" si="101"/>
        <v>11.5</v>
      </c>
    </row>
    <row r="90" spans="2:28" s="2" customFormat="1">
      <c r="B90" s="2" t="s">
        <v>116</v>
      </c>
      <c r="F90" s="26">
        <v>179.3</v>
      </c>
      <c r="H90" s="27">
        <v>296.10000000000002</v>
      </c>
      <c r="I90" s="26">
        <v>275</v>
      </c>
      <c r="J90" s="26">
        <v>215</v>
      </c>
      <c r="K90" s="26">
        <v>663</v>
      </c>
      <c r="L90" s="26">
        <v>471.2</v>
      </c>
      <c r="M90" s="26">
        <v>783.8</v>
      </c>
      <c r="N90" s="26">
        <v>375.5</v>
      </c>
      <c r="O90" s="26">
        <v>357.2</v>
      </c>
      <c r="P90" s="26">
        <v>808.6</v>
      </c>
      <c r="Q90" s="26">
        <v>783.8</v>
      </c>
      <c r="R90" s="26">
        <v>574.20000000000005</v>
      </c>
      <c r="S90" s="26">
        <v>326.8</v>
      </c>
      <c r="T90" s="26">
        <v>70.2</v>
      </c>
      <c r="AA90" s="26">
        <f>N90</f>
        <v>375.5</v>
      </c>
      <c r="AB90" s="26">
        <f>R90</f>
        <v>574.20000000000005</v>
      </c>
    </row>
    <row r="91" spans="2:28" s="2" customFormat="1">
      <c r="B91" s="2" t="s">
        <v>197</v>
      </c>
      <c r="F91" s="26">
        <v>324</v>
      </c>
      <c r="H91" s="26">
        <v>292.89999999999998</v>
      </c>
      <c r="I91" s="26">
        <v>256.60000000000002</v>
      </c>
      <c r="J91" s="26">
        <v>4</v>
      </c>
      <c r="K91" s="26">
        <v>4</v>
      </c>
      <c r="L91" s="26">
        <v>4.0999999999999996</v>
      </c>
      <c r="M91" s="26">
        <v>0</v>
      </c>
      <c r="N91" s="26">
        <v>0</v>
      </c>
      <c r="O91" s="26">
        <v>4.2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AA91" s="26">
        <f>N91</f>
        <v>0</v>
      </c>
      <c r="AB91" s="26">
        <f>R91</f>
        <v>0</v>
      </c>
    </row>
    <row r="92" spans="2:28">
      <c r="B92" s="3" t="s">
        <v>108</v>
      </c>
      <c r="F92" s="27">
        <v>288.39999999999998</v>
      </c>
      <c r="H92" s="27">
        <v>288</v>
      </c>
      <c r="I92" s="27">
        <v>305.10000000000002</v>
      </c>
      <c r="J92" s="27">
        <v>289.8</v>
      </c>
      <c r="K92" s="27">
        <v>250.4</v>
      </c>
      <c r="L92" s="27">
        <v>234.8</v>
      </c>
      <c r="M92" s="27">
        <v>283.89999999999998</v>
      </c>
      <c r="N92" s="27">
        <v>249.9</v>
      </c>
      <c r="O92" s="27">
        <v>235.3</v>
      </c>
      <c r="P92" s="27">
        <v>251.8</v>
      </c>
      <c r="Q92" s="27">
        <v>283.89999999999998</v>
      </c>
      <c r="R92" s="27">
        <v>241.3</v>
      </c>
      <c r="S92" s="27">
        <v>263.3</v>
      </c>
      <c r="T92" s="27">
        <v>258.8</v>
      </c>
      <c r="AA92" s="27">
        <f t="shared" si="100"/>
        <v>249.9</v>
      </c>
      <c r="AB92" s="27">
        <f t="shared" si="101"/>
        <v>241.3</v>
      </c>
    </row>
    <row r="93" spans="2:28">
      <c r="B93" s="3" t="s">
        <v>109</v>
      </c>
      <c r="F93" s="27">
        <v>1045.4000000000001</v>
      </c>
      <c r="H93" s="27">
        <v>1167.9000000000001</v>
      </c>
      <c r="I93" s="27">
        <v>1220</v>
      </c>
      <c r="J93" s="27">
        <v>1171.7</v>
      </c>
      <c r="K93" s="27">
        <v>1211.5999999999999</v>
      </c>
      <c r="L93" s="27">
        <v>1084.8</v>
      </c>
      <c r="M93" s="27">
        <v>1041.4000000000001</v>
      </c>
      <c r="N93" s="27">
        <v>1033</v>
      </c>
      <c r="O93" s="27">
        <v>1016.4</v>
      </c>
      <c r="P93" s="27">
        <v>991.7</v>
      </c>
      <c r="Q93" s="27">
        <v>1041.4000000000001</v>
      </c>
      <c r="R93" s="27">
        <v>1204.5999999999999</v>
      </c>
      <c r="S93" s="27">
        <v>1301.8</v>
      </c>
      <c r="T93" s="27">
        <v>1317.8</v>
      </c>
      <c r="AA93" s="27">
        <f t="shared" si="100"/>
        <v>1033</v>
      </c>
      <c r="AB93" s="27">
        <f t="shared" si="101"/>
        <v>1204.5999999999999</v>
      </c>
    </row>
    <row r="94" spans="2:28" s="2" customFormat="1">
      <c r="B94" s="2" t="s">
        <v>92</v>
      </c>
      <c r="F94" s="26">
        <v>8.1</v>
      </c>
      <c r="H94" s="26">
        <v>2</v>
      </c>
      <c r="I94" s="26">
        <v>18.100000000000001</v>
      </c>
      <c r="J94" s="26">
        <v>4.5</v>
      </c>
      <c r="K94" s="26">
        <v>13.6</v>
      </c>
      <c r="L94" s="26">
        <v>11.4</v>
      </c>
      <c r="M94" s="26">
        <v>2.8</v>
      </c>
      <c r="N94" s="26">
        <v>1.2</v>
      </c>
      <c r="O94" s="26">
        <v>1.9</v>
      </c>
      <c r="P94" s="26">
        <v>2.2999999999999998</v>
      </c>
      <c r="Q94" s="26">
        <v>2.8</v>
      </c>
      <c r="R94" s="26">
        <v>2.9</v>
      </c>
      <c r="S94" s="26">
        <v>3.2</v>
      </c>
      <c r="T94" s="26">
        <v>11</v>
      </c>
      <c r="AA94" s="26">
        <f>N94</f>
        <v>1.2</v>
      </c>
      <c r="AB94" s="26">
        <f>R94</f>
        <v>2.9</v>
      </c>
    </row>
    <row r="95" spans="2:28">
      <c r="B95" s="3" t="s">
        <v>110</v>
      </c>
      <c r="F95" s="27">
        <v>68.400000000000006</v>
      </c>
      <c r="H95" s="27">
        <v>73.3</v>
      </c>
      <c r="I95" s="27">
        <v>70.400000000000006</v>
      </c>
      <c r="J95" s="27">
        <v>63.8</v>
      </c>
      <c r="K95" s="27">
        <v>70.7</v>
      </c>
      <c r="L95" s="27">
        <v>81.2</v>
      </c>
      <c r="M95" s="27">
        <v>38</v>
      </c>
      <c r="N95" s="27">
        <v>71.900000000000006</v>
      </c>
      <c r="O95" s="27">
        <v>60.9</v>
      </c>
      <c r="P95" s="27">
        <v>44.3</v>
      </c>
      <c r="Q95" s="27">
        <v>38</v>
      </c>
      <c r="R95" s="27">
        <v>40.4</v>
      </c>
      <c r="S95" s="27">
        <v>38</v>
      </c>
      <c r="T95" s="27">
        <v>37.1</v>
      </c>
      <c r="AA95" s="27">
        <f t="shared" si="100"/>
        <v>71.900000000000006</v>
      </c>
      <c r="AB95" s="27">
        <f t="shared" si="101"/>
        <v>40.4</v>
      </c>
    </row>
    <row r="96" spans="2:28">
      <c r="B96" s="3" t="s">
        <v>111</v>
      </c>
      <c r="F96" s="27">
        <v>48</v>
      </c>
      <c r="H96" s="27">
        <v>30.9</v>
      </c>
      <c r="I96" s="27">
        <v>37.200000000000003</v>
      </c>
      <c r="J96" s="27">
        <v>97.5</v>
      </c>
      <c r="K96" s="27">
        <v>139.5</v>
      </c>
      <c r="L96" s="27">
        <v>101.8</v>
      </c>
      <c r="M96" s="27">
        <v>85.3</v>
      </c>
      <c r="N96" s="27">
        <v>40.700000000000003</v>
      </c>
      <c r="O96" s="27">
        <v>47.2</v>
      </c>
      <c r="P96" s="27">
        <v>73.5</v>
      </c>
      <c r="Q96" s="27">
        <v>85.3</v>
      </c>
      <c r="R96" s="27">
        <v>71.599999999999994</v>
      </c>
      <c r="S96" s="27">
        <v>71.400000000000006</v>
      </c>
      <c r="T96" s="27">
        <v>79.8</v>
      </c>
      <c r="AA96" s="27">
        <f t="shared" si="100"/>
        <v>40.700000000000003</v>
      </c>
      <c r="AB96" s="27">
        <f t="shared" si="101"/>
        <v>71.599999999999994</v>
      </c>
    </row>
    <row r="97" spans="2:28">
      <c r="B97" s="3" t="s">
        <v>187</v>
      </c>
      <c r="F97" s="27">
        <v>51</v>
      </c>
      <c r="H97" s="27">
        <v>21.9</v>
      </c>
      <c r="I97" s="27">
        <v>21.2</v>
      </c>
      <c r="J97" s="27">
        <v>30.7</v>
      </c>
      <c r="K97" s="27">
        <v>35.200000000000003</v>
      </c>
      <c r="L97" s="27">
        <v>51.7</v>
      </c>
      <c r="M97" s="27">
        <v>34.1</v>
      </c>
      <c r="N97" s="27">
        <v>42.6</v>
      </c>
      <c r="O97" s="27">
        <v>38.799999999999997</v>
      </c>
      <c r="P97" s="27">
        <v>38.700000000000003</v>
      </c>
      <c r="Q97" s="27">
        <v>34.1</v>
      </c>
      <c r="R97" s="27">
        <v>15.8</v>
      </c>
      <c r="S97" s="27">
        <v>0</v>
      </c>
      <c r="T97" s="27">
        <v>0</v>
      </c>
      <c r="AA97" s="27">
        <f t="shared" si="100"/>
        <v>42.6</v>
      </c>
      <c r="AB97" s="27">
        <f t="shared" si="101"/>
        <v>15.8</v>
      </c>
    </row>
    <row r="98" spans="2:28">
      <c r="B98" s="3" t="s">
        <v>112</v>
      </c>
      <c r="F98" s="27">
        <v>2</v>
      </c>
      <c r="H98" s="27">
        <v>2</v>
      </c>
      <c r="I98" s="27">
        <v>2</v>
      </c>
      <c r="J98" s="27">
        <v>2</v>
      </c>
      <c r="K98" s="27">
        <v>2</v>
      </c>
      <c r="L98" s="27">
        <v>2.5</v>
      </c>
      <c r="M98" s="27">
        <v>2.5</v>
      </c>
      <c r="N98" s="27">
        <v>0.5</v>
      </c>
      <c r="O98" s="27">
        <v>0</v>
      </c>
      <c r="P98" s="27">
        <v>2.5</v>
      </c>
      <c r="Q98" s="27">
        <v>2.5</v>
      </c>
      <c r="R98" s="27">
        <v>2.5</v>
      </c>
      <c r="S98" s="27">
        <v>2.8</v>
      </c>
      <c r="T98" s="27">
        <v>2.6</v>
      </c>
      <c r="AA98" s="27">
        <f t="shared" si="100"/>
        <v>0.5</v>
      </c>
      <c r="AB98" s="27">
        <f t="shared" si="101"/>
        <v>2.5</v>
      </c>
    </row>
    <row r="99" spans="2:28">
      <c r="B99" s="3" t="s">
        <v>113</v>
      </c>
      <c r="F99" s="27">
        <v>116.9</v>
      </c>
      <c r="H99" s="27">
        <v>123</v>
      </c>
      <c r="I99" s="27">
        <v>128.19999999999999</v>
      </c>
      <c r="J99" s="27">
        <v>117.3</v>
      </c>
      <c r="K99" s="27">
        <v>103</v>
      </c>
      <c r="L99" s="27">
        <v>96.8</v>
      </c>
      <c r="M99" s="27">
        <v>114.1</v>
      </c>
      <c r="N99" s="27">
        <v>98.5</v>
      </c>
      <c r="O99" s="27">
        <v>95.6</v>
      </c>
      <c r="P99" s="27">
        <v>113.54</v>
      </c>
      <c r="Q99" s="27">
        <v>114.1</v>
      </c>
      <c r="R99" s="27">
        <v>108.9</v>
      </c>
      <c r="S99" s="27">
        <v>113.8</v>
      </c>
      <c r="T99" s="27">
        <v>111.8</v>
      </c>
      <c r="AA99" s="27">
        <f t="shared" si="100"/>
        <v>98.5</v>
      </c>
      <c r="AB99" s="27">
        <f t="shared" si="101"/>
        <v>108.9</v>
      </c>
    </row>
    <row r="100" spans="2:28">
      <c r="B100" s="3" t="s">
        <v>186</v>
      </c>
      <c r="F100" s="27">
        <v>5</v>
      </c>
      <c r="H100" s="27">
        <v>2</v>
      </c>
      <c r="I100" s="27">
        <v>1.4</v>
      </c>
      <c r="J100" s="27">
        <v>1.4</v>
      </c>
      <c r="K100" s="27">
        <v>1.1000000000000001</v>
      </c>
      <c r="L100" s="27">
        <v>1</v>
      </c>
      <c r="M100" s="27">
        <v>1.2</v>
      </c>
      <c r="N100" s="27">
        <v>1.2</v>
      </c>
      <c r="O100" s="27">
        <v>1</v>
      </c>
      <c r="P100" s="27">
        <v>1.1000000000000001</v>
      </c>
      <c r="Q100" s="27">
        <v>1.2</v>
      </c>
      <c r="R100" s="27">
        <v>0</v>
      </c>
      <c r="S100" s="27">
        <v>0</v>
      </c>
      <c r="T100" s="27">
        <v>0</v>
      </c>
      <c r="AA100" s="27">
        <f t="shared" si="100"/>
        <v>1.2</v>
      </c>
      <c r="AB100" s="27">
        <f t="shared" si="101"/>
        <v>0</v>
      </c>
    </row>
    <row r="101" spans="2:28">
      <c r="B101" s="3" t="s">
        <v>114</v>
      </c>
      <c r="F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45.1</v>
      </c>
      <c r="S101" s="3">
        <v>47.4</v>
      </c>
      <c r="T101" s="27">
        <v>0</v>
      </c>
      <c r="AA101" s="27">
        <f t="shared" si="100"/>
        <v>0</v>
      </c>
      <c r="AB101" s="27">
        <f t="shared" si="101"/>
        <v>45.1</v>
      </c>
    </row>
    <row r="102" spans="2:28">
      <c r="B102" s="3" t="s">
        <v>115</v>
      </c>
      <c r="F102" s="27">
        <f t="shared" ref="F102:T102" si="102">SUM(F87:F101)</f>
        <v>3028.6000000000004</v>
      </c>
      <c r="H102" s="27">
        <f t="shared" si="102"/>
        <v>3235.1000000000004</v>
      </c>
      <c r="I102" s="27">
        <f t="shared" si="102"/>
        <v>3200.8999999999996</v>
      </c>
      <c r="J102" s="27">
        <f t="shared" si="102"/>
        <v>2838.4</v>
      </c>
      <c r="K102" s="27">
        <f t="shared" si="102"/>
        <v>3364.2999999999993</v>
      </c>
      <c r="L102" s="27">
        <f t="shared" si="102"/>
        <v>2938</v>
      </c>
      <c r="M102" s="27">
        <f t="shared" si="102"/>
        <v>2953.6</v>
      </c>
      <c r="N102" s="27">
        <f t="shared" si="102"/>
        <v>2428.6999999999998</v>
      </c>
      <c r="O102" s="27">
        <f t="shared" si="102"/>
        <v>2410.1999999999998</v>
      </c>
      <c r="P102" s="27">
        <f t="shared" si="102"/>
        <v>2856.2400000000002</v>
      </c>
      <c r="Q102" s="27">
        <f t="shared" si="102"/>
        <v>2953.6</v>
      </c>
      <c r="R102" s="27">
        <f t="shared" si="102"/>
        <v>2828.8</v>
      </c>
      <c r="S102" s="27">
        <f t="shared" si="102"/>
        <v>2756.3</v>
      </c>
      <c r="T102" s="27">
        <f t="shared" si="102"/>
        <v>2640.1000000000004</v>
      </c>
      <c r="AA102" s="27">
        <f>SUM(AA87:AA101)</f>
        <v>2428.6999999999998</v>
      </c>
      <c r="AB102" s="27">
        <f>SUM(AB87:AB101)</f>
        <v>2828.8</v>
      </c>
    </row>
    <row r="103" spans="2:28">
      <c r="B103" s="3" t="s">
        <v>107</v>
      </c>
      <c r="F103" s="27">
        <v>0</v>
      </c>
      <c r="H103" s="27">
        <v>40.4</v>
      </c>
      <c r="I103" s="27">
        <v>37.6</v>
      </c>
      <c r="J103" s="27">
        <v>39.9</v>
      </c>
      <c r="K103" s="3">
        <v>54.9</v>
      </c>
      <c r="L103" s="27">
        <v>53.3</v>
      </c>
      <c r="M103" s="27">
        <v>52.9</v>
      </c>
      <c r="N103" s="27">
        <v>53.3</v>
      </c>
      <c r="O103" s="27">
        <v>50.6</v>
      </c>
      <c r="P103" s="27">
        <v>48.2</v>
      </c>
      <c r="Q103" s="27">
        <v>52.9</v>
      </c>
      <c r="R103" s="27">
        <v>52.3</v>
      </c>
      <c r="S103" s="27">
        <v>49</v>
      </c>
      <c r="T103" s="27">
        <v>52.6</v>
      </c>
      <c r="AA103" s="27">
        <f>N103</f>
        <v>53.3</v>
      </c>
      <c r="AB103" s="27">
        <f>R103</f>
        <v>52.3</v>
      </c>
    </row>
    <row r="104" spans="2:28" s="2" customFormat="1">
      <c r="B104" s="2" t="s">
        <v>116</v>
      </c>
      <c r="F104" s="26">
        <v>3468.4</v>
      </c>
      <c r="H104" s="26">
        <v>3273</v>
      </c>
      <c r="I104" s="26">
        <v>3247.6</v>
      </c>
      <c r="J104" s="26">
        <v>3177.3</v>
      </c>
      <c r="K104" s="26">
        <v>3169.2</v>
      </c>
      <c r="L104" s="26">
        <v>3328</v>
      </c>
      <c r="M104" s="26">
        <v>3523.5</v>
      </c>
      <c r="N104" s="26">
        <v>4072.5</v>
      </c>
      <c r="O104" s="26">
        <v>4008.3</v>
      </c>
      <c r="P104" s="26">
        <v>3523.2</v>
      </c>
      <c r="Q104" s="26">
        <v>3523.5</v>
      </c>
      <c r="R104" s="26">
        <v>3452.7</v>
      </c>
      <c r="S104" s="26">
        <v>3229</v>
      </c>
      <c r="T104" s="26">
        <v>3092.7</v>
      </c>
      <c r="AA104" s="26">
        <f>N104</f>
        <v>4072.5</v>
      </c>
      <c r="AB104" s="26">
        <f>R104</f>
        <v>3452.7</v>
      </c>
    </row>
    <row r="105" spans="2:28" s="2" customFormat="1">
      <c r="B105" s="2" t="s">
        <v>197</v>
      </c>
      <c r="F105" s="26">
        <v>17.399999999999999</v>
      </c>
      <c r="H105" s="26">
        <v>15.5</v>
      </c>
      <c r="I105" s="26">
        <v>14.3</v>
      </c>
      <c r="J105" s="26">
        <v>13.6</v>
      </c>
      <c r="K105" s="26">
        <v>12.4</v>
      </c>
      <c r="L105" s="26">
        <v>11.7</v>
      </c>
      <c r="M105" s="26">
        <v>0</v>
      </c>
      <c r="N105" s="26">
        <v>0</v>
      </c>
      <c r="O105" s="26">
        <v>8.4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AA105" s="26">
        <f>N105</f>
        <v>0</v>
      </c>
      <c r="AB105" s="26">
        <f>R105</f>
        <v>0</v>
      </c>
    </row>
    <row r="106" spans="2:28">
      <c r="B106" s="3" t="s">
        <v>108</v>
      </c>
      <c r="F106" s="27">
        <v>28.6</v>
      </c>
      <c r="H106" s="27">
        <v>24.7</v>
      </c>
      <c r="I106" s="27">
        <v>23.1</v>
      </c>
      <c r="J106" s="27">
        <v>18</v>
      </c>
      <c r="K106" s="27">
        <v>8</v>
      </c>
      <c r="L106" s="27">
        <v>6</v>
      </c>
      <c r="M106" s="27">
        <v>39.6</v>
      </c>
      <c r="N106" s="27">
        <v>42.3</v>
      </c>
      <c r="O106" s="27">
        <v>34.9</v>
      </c>
      <c r="P106" s="27">
        <v>44.9</v>
      </c>
      <c r="Q106" s="27">
        <v>39.6</v>
      </c>
      <c r="R106" s="27">
        <v>57.6</v>
      </c>
      <c r="S106" s="27">
        <v>53.8</v>
      </c>
      <c r="T106" s="27">
        <v>55.1</v>
      </c>
      <c r="AA106" s="27">
        <f t="shared" ref="AA106:AA113" si="103">N106</f>
        <v>42.3</v>
      </c>
      <c r="AB106" s="27">
        <f t="shared" ref="AB106:AB113" si="104">R106</f>
        <v>57.6</v>
      </c>
    </row>
    <row r="107" spans="2:28">
      <c r="B107" s="3" t="s">
        <v>109</v>
      </c>
      <c r="F107" s="27">
        <v>198.2</v>
      </c>
      <c r="H107" s="27">
        <v>179</v>
      </c>
      <c r="I107" s="27">
        <v>158.5</v>
      </c>
      <c r="J107" s="27">
        <v>257.8</v>
      </c>
      <c r="K107" s="27">
        <v>190.5</v>
      </c>
      <c r="L107" s="27">
        <v>239.1</v>
      </c>
      <c r="M107" s="27">
        <v>324.8</v>
      </c>
      <c r="N107" s="27">
        <v>262.39999999999998</v>
      </c>
      <c r="O107" s="27">
        <v>254.2</v>
      </c>
      <c r="P107" s="27">
        <v>267.5</v>
      </c>
      <c r="Q107" s="27">
        <v>324.8</v>
      </c>
      <c r="R107" s="27">
        <v>308.7</v>
      </c>
      <c r="S107" s="27">
        <v>454.8</v>
      </c>
      <c r="T107" s="27">
        <v>478.5</v>
      </c>
      <c r="AA107" s="27">
        <f t="shared" si="103"/>
        <v>262.39999999999998</v>
      </c>
      <c r="AB107" s="27">
        <f t="shared" si="104"/>
        <v>308.7</v>
      </c>
    </row>
    <row r="108" spans="2:28">
      <c r="B108" s="3" t="s">
        <v>92</v>
      </c>
      <c r="F108" s="27">
        <v>0</v>
      </c>
      <c r="H108" s="27">
        <v>3</v>
      </c>
      <c r="I108" s="27">
        <v>5.2</v>
      </c>
      <c r="J108" s="27">
        <v>0</v>
      </c>
      <c r="K108" s="27">
        <v>0</v>
      </c>
      <c r="L108" s="27">
        <v>12.7</v>
      </c>
      <c r="M108" s="27">
        <v>3.6</v>
      </c>
      <c r="N108" s="27">
        <v>8.6999999999999993</v>
      </c>
      <c r="O108" s="27">
        <v>7.4</v>
      </c>
      <c r="P108" s="27">
        <v>4.7</v>
      </c>
      <c r="Q108" s="27">
        <v>3.6</v>
      </c>
      <c r="R108" s="27">
        <v>3</v>
      </c>
      <c r="S108" s="27">
        <v>0</v>
      </c>
      <c r="T108" s="27">
        <v>0</v>
      </c>
      <c r="AA108" s="27">
        <f t="shared" si="103"/>
        <v>8.6999999999999993</v>
      </c>
      <c r="AB108" s="27">
        <f t="shared" si="104"/>
        <v>3</v>
      </c>
    </row>
    <row r="109" spans="2:28">
      <c r="B109" s="3" t="s">
        <v>110</v>
      </c>
      <c r="F109" s="27">
        <v>58.2</v>
      </c>
      <c r="H109" s="27">
        <v>61.5</v>
      </c>
      <c r="I109" s="27">
        <v>12.5</v>
      </c>
      <c r="J109" s="27">
        <v>13.4</v>
      </c>
      <c r="K109" s="27">
        <v>11</v>
      </c>
      <c r="L109" s="27">
        <v>10.6</v>
      </c>
      <c r="M109" s="27">
        <v>10</v>
      </c>
      <c r="N109" s="27">
        <v>11.8</v>
      </c>
      <c r="O109" s="27">
        <v>10.8</v>
      </c>
      <c r="P109" s="27">
        <v>12.4</v>
      </c>
      <c r="Q109" s="27">
        <v>10</v>
      </c>
      <c r="R109" s="27">
        <v>10</v>
      </c>
      <c r="S109" s="27">
        <v>13</v>
      </c>
      <c r="T109" s="27">
        <v>12.1</v>
      </c>
      <c r="AA109" s="27">
        <f t="shared" si="103"/>
        <v>11.8</v>
      </c>
      <c r="AB109" s="27">
        <f t="shared" si="104"/>
        <v>10</v>
      </c>
    </row>
    <row r="110" spans="2:28">
      <c r="B110" s="3" t="s">
        <v>117</v>
      </c>
      <c r="F110" s="27">
        <v>254</v>
      </c>
      <c r="H110" s="27">
        <v>214.2</v>
      </c>
      <c r="I110" s="27">
        <v>242.7</v>
      </c>
      <c r="J110" s="27">
        <v>301</v>
      </c>
      <c r="K110" s="27">
        <v>492.1</v>
      </c>
      <c r="L110" s="27">
        <v>508.6</v>
      </c>
      <c r="M110" s="27">
        <v>428.6</v>
      </c>
      <c r="N110" s="27">
        <v>474.7</v>
      </c>
      <c r="O110" s="27">
        <v>488.7</v>
      </c>
      <c r="P110" s="27">
        <v>444.8</v>
      </c>
      <c r="Q110" s="27">
        <v>428.6</v>
      </c>
      <c r="R110" s="27">
        <v>505.8</v>
      </c>
      <c r="S110" s="27">
        <v>376.1</v>
      </c>
      <c r="T110" s="27">
        <v>334.4</v>
      </c>
      <c r="AA110" s="27">
        <f t="shared" si="103"/>
        <v>474.7</v>
      </c>
      <c r="AB110" s="27">
        <f t="shared" si="104"/>
        <v>505.8</v>
      </c>
    </row>
    <row r="111" spans="2:28">
      <c r="B111" s="3" t="s">
        <v>187</v>
      </c>
      <c r="F111" s="27">
        <v>101.1</v>
      </c>
      <c r="H111" s="27">
        <v>123</v>
      </c>
      <c r="I111" s="27">
        <v>129.69999999999999</v>
      </c>
      <c r="J111" s="27">
        <v>109.6</v>
      </c>
      <c r="K111" s="27">
        <v>99.4</v>
      </c>
      <c r="L111" s="27">
        <v>69.2</v>
      </c>
      <c r="M111" s="27">
        <v>63.1</v>
      </c>
      <c r="N111" s="27">
        <v>82.6</v>
      </c>
      <c r="O111" s="27">
        <v>78.599999999999994</v>
      </c>
      <c r="P111" s="27">
        <v>73.8</v>
      </c>
      <c r="Q111" s="27">
        <v>63.1</v>
      </c>
      <c r="R111" s="27">
        <v>2.9</v>
      </c>
      <c r="S111" s="27">
        <v>0</v>
      </c>
      <c r="T111" s="27">
        <v>0</v>
      </c>
      <c r="AA111" s="27">
        <f t="shared" si="103"/>
        <v>82.6</v>
      </c>
      <c r="AB111" s="27">
        <f t="shared" si="104"/>
        <v>2.9</v>
      </c>
    </row>
    <row r="112" spans="2:28">
      <c r="B112" s="3" t="s">
        <v>112</v>
      </c>
      <c r="F112" s="27">
        <v>73.2</v>
      </c>
      <c r="H112" s="27">
        <v>68.2</v>
      </c>
      <c r="I112" s="27">
        <v>65.2</v>
      </c>
      <c r="J112" s="27">
        <v>63.7</v>
      </c>
      <c r="K112" s="27">
        <v>61.2</v>
      </c>
      <c r="L112" s="27">
        <v>60.1</v>
      </c>
      <c r="M112" s="27">
        <v>66.400000000000006</v>
      </c>
      <c r="N112" s="27">
        <v>57.3</v>
      </c>
      <c r="O112" s="27">
        <v>56.5</v>
      </c>
      <c r="P112" s="27">
        <v>67.599999999999994</v>
      </c>
      <c r="Q112" s="27">
        <v>66.400000000000006</v>
      </c>
      <c r="R112" s="27">
        <v>37.700000000000003</v>
      </c>
      <c r="S112" s="27">
        <v>37.6</v>
      </c>
      <c r="T112" s="27">
        <v>27.2</v>
      </c>
      <c r="AA112" s="27">
        <f t="shared" si="103"/>
        <v>57.3</v>
      </c>
      <c r="AB112" s="27">
        <f t="shared" si="104"/>
        <v>37.700000000000003</v>
      </c>
    </row>
    <row r="113" spans="2:28">
      <c r="B113" s="3" t="s">
        <v>113</v>
      </c>
      <c r="F113" s="27">
        <v>125.5</v>
      </c>
      <c r="H113" s="27">
        <v>125.7</v>
      </c>
      <c r="I113" s="27">
        <v>122.9</v>
      </c>
      <c r="J113" s="27">
        <v>125.2</v>
      </c>
      <c r="K113" s="27">
        <v>108.7</v>
      </c>
      <c r="L113" s="27">
        <v>107.8</v>
      </c>
      <c r="M113" s="27">
        <v>108.4</v>
      </c>
      <c r="N113" s="27">
        <v>114.2</v>
      </c>
      <c r="O113" s="27">
        <v>105.1</v>
      </c>
      <c r="P113" s="27">
        <v>112.3</v>
      </c>
      <c r="Q113" s="27">
        <v>108.4</v>
      </c>
      <c r="R113" s="27">
        <v>120.5</v>
      </c>
      <c r="S113" s="27">
        <v>141.9</v>
      </c>
      <c r="T113" s="27">
        <v>133.4</v>
      </c>
      <c r="AA113" s="27">
        <f t="shared" si="103"/>
        <v>114.2</v>
      </c>
      <c r="AB113" s="27">
        <f t="shared" si="104"/>
        <v>120.5</v>
      </c>
    </row>
    <row r="114" spans="2:28">
      <c r="B114" s="3" t="s">
        <v>118</v>
      </c>
      <c r="F114" s="27">
        <f t="shared" ref="F114:T114" si="105">SUM(F103:F113)+F102</f>
        <v>7353.2</v>
      </c>
      <c r="H114" s="27">
        <f t="shared" si="105"/>
        <v>7363.3</v>
      </c>
      <c r="I114" s="27">
        <f t="shared" si="105"/>
        <v>7260.1999999999989</v>
      </c>
      <c r="J114" s="27">
        <f t="shared" si="105"/>
        <v>6957.9</v>
      </c>
      <c r="K114" s="27">
        <f t="shared" si="105"/>
        <v>7571.6999999999989</v>
      </c>
      <c r="L114" s="27">
        <f t="shared" si="105"/>
        <v>7345.1</v>
      </c>
      <c r="M114" s="27">
        <f t="shared" si="105"/>
        <v>7574.5</v>
      </c>
      <c r="N114" s="27">
        <f t="shared" si="105"/>
        <v>7608.5</v>
      </c>
      <c r="O114" s="27">
        <f t="shared" si="105"/>
        <v>7513.7</v>
      </c>
      <c r="P114" s="27">
        <f t="shared" si="105"/>
        <v>7455.6400000000012</v>
      </c>
      <c r="Q114" s="27">
        <f t="shared" si="105"/>
        <v>7574.5</v>
      </c>
      <c r="R114" s="27">
        <f t="shared" si="105"/>
        <v>7379.9999999999991</v>
      </c>
      <c r="S114" s="27">
        <f t="shared" si="105"/>
        <v>7111.5000000000009</v>
      </c>
      <c r="T114" s="27">
        <f t="shared" si="105"/>
        <v>6826.0999999999995</v>
      </c>
      <c r="AA114" s="27">
        <f>SUM(AA103:AA113)+AA102</f>
        <v>7608.5</v>
      </c>
      <c r="AB114" s="27">
        <f>SUM(AB103:AB113)+AB102</f>
        <v>7379.9999999999991</v>
      </c>
    </row>
    <row r="115" spans="2:28">
      <c r="H115" s="27"/>
      <c r="I115" s="27"/>
      <c r="L115" s="27"/>
      <c r="P115" s="27"/>
      <c r="Q115" s="27"/>
      <c r="R115" s="27"/>
      <c r="S115" s="27"/>
      <c r="T115" s="27"/>
    </row>
    <row r="116" spans="2:28">
      <c r="B116" s="3" t="s">
        <v>119</v>
      </c>
      <c r="F116" s="27">
        <v>3940.1</v>
      </c>
      <c r="H116" s="27">
        <v>3910.1</v>
      </c>
      <c r="I116" s="27">
        <v>3802.3</v>
      </c>
      <c r="J116" s="27">
        <v>3614.6</v>
      </c>
      <c r="K116" s="27">
        <v>3284.4</v>
      </c>
      <c r="L116" s="27">
        <v>2980.3</v>
      </c>
      <c r="M116" s="27">
        <v>2808.2</v>
      </c>
      <c r="N116" s="27">
        <v>2907.5</v>
      </c>
      <c r="O116" s="27">
        <v>2794.4</v>
      </c>
      <c r="P116" s="27">
        <v>2885.7</v>
      </c>
      <c r="Q116" s="27">
        <v>2808.2</v>
      </c>
      <c r="R116" s="27">
        <v>2775</v>
      </c>
      <c r="S116" s="27">
        <v>2756.9</v>
      </c>
      <c r="T116" s="27">
        <v>2872.7</v>
      </c>
      <c r="AA116" s="27">
        <f>N116</f>
        <v>2907.5</v>
      </c>
      <c r="AB116" s="27">
        <f>R116</f>
        <v>2775</v>
      </c>
    </row>
    <row r="117" spans="2:28">
      <c r="B117" s="3" t="s">
        <v>120</v>
      </c>
      <c r="F117" s="27">
        <f t="shared" ref="F117:K117" si="106">F116+F114</f>
        <v>11293.3</v>
      </c>
      <c r="H117" s="27">
        <f t="shared" si="106"/>
        <v>11273.4</v>
      </c>
      <c r="I117" s="27">
        <f t="shared" si="106"/>
        <v>11062.5</v>
      </c>
      <c r="J117" s="27">
        <f t="shared" si="106"/>
        <v>10572.5</v>
      </c>
      <c r="K117" s="27">
        <f t="shared" si="106"/>
        <v>10856.099999999999</v>
      </c>
      <c r="L117" s="27">
        <f t="shared" ref="L117:T117" si="107">L116+L114</f>
        <v>10325.400000000001</v>
      </c>
      <c r="M117" s="27">
        <f t="shared" si="107"/>
        <v>10382.700000000001</v>
      </c>
      <c r="N117" s="27">
        <f t="shared" si="107"/>
        <v>10516</v>
      </c>
      <c r="O117" s="27">
        <f t="shared" si="107"/>
        <v>10308.1</v>
      </c>
      <c r="P117" s="27">
        <f t="shared" si="107"/>
        <v>10341.34</v>
      </c>
      <c r="Q117" s="27">
        <f t="shared" si="107"/>
        <v>10382.700000000001</v>
      </c>
      <c r="R117" s="27">
        <f t="shared" si="107"/>
        <v>10155</v>
      </c>
      <c r="S117" s="27">
        <f t="shared" si="107"/>
        <v>9868.4000000000015</v>
      </c>
      <c r="T117" s="27">
        <f t="shared" si="107"/>
        <v>9698.7999999999993</v>
      </c>
      <c r="AA117" s="27">
        <f>AA116+AA114</f>
        <v>10516</v>
      </c>
      <c r="AB117" s="27">
        <f>AB116+AB114</f>
        <v>10155</v>
      </c>
    </row>
    <row r="118" spans="2:28">
      <c r="F118" s="27"/>
      <c r="H118" s="27"/>
      <c r="J118" s="27"/>
      <c r="K118" s="27"/>
      <c r="L118" s="27"/>
    </row>
    <row r="119" spans="2:28">
      <c r="B119" s="3" t="s">
        <v>121</v>
      </c>
      <c r="F119" s="27">
        <f t="shared" ref="F119" si="108">F85-F114</f>
        <v>3940.2</v>
      </c>
      <c r="H119" s="27">
        <f t="shared" ref="H119:I119" si="109">H85-H114</f>
        <v>3910.0999999999995</v>
      </c>
      <c r="I119" s="27">
        <f t="shared" si="109"/>
        <v>3802.3000000000011</v>
      </c>
      <c r="J119" s="27">
        <f t="shared" ref="J119:K119" si="110">J85-J114</f>
        <v>3614.6000000000004</v>
      </c>
      <c r="K119" s="27">
        <f t="shared" si="110"/>
        <v>3284.3999999999996</v>
      </c>
      <c r="L119" s="27">
        <f t="shared" ref="L119:O119" si="111">L85-L114</f>
        <v>2980.3000000000011</v>
      </c>
      <c r="M119" s="27">
        <f t="shared" ref="M119" si="112">M85-M114</f>
        <v>2808.2000000000007</v>
      </c>
      <c r="N119" s="27">
        <f t="shared" si="111"/>
        <v>2907.5</v>
      </c>
      <c r="O119" s="27">
        <f t="shared" si="111"/>
        <v>2794.4000000000005</v>
      </c>
      <c r="P119" s="27">
        <f t="shared" ref="P119:Q119" si="113">P85-P114</f>
        <v>2885.659999999998</v>
      </c>
      <c r="Q119" s="27">
        <f t="shared" si="113"/>
        <v>2808.2000000000007</v>
      </c>
      <c r="R119" s="27">
        <f t="shared" ref="R119" si="114">R85-R114</f>
        <v>2775.0000000000009</v>
      </c>
      <c r="S119" s="27">
        <f>S85-S114</f>
        <v>2756.8999999999987</v>
      </c>
      <c r="T119" s="27">
        <f>T85-T114</f>
        <v>2872.7</v>
      </c>
      <c r="AA119" s="27">
        <f t="shared" ref="AA119" si="115">AA85-AA114</f>
        <v>2907.5</v>
      </c>
      <c r="AB119" s="27">
        <f>AB85-AB114</f>
        <v>2775.0000000000009</v>
      </c>
    </row>
    <row r="120" spans="2:28">
      <c r="B120" s="3" t="s">
        <v>122</v>
      </c>
      <c r="F120" s="3">
        <f t="shared" ref="F120" si="116">F119/F27</f>
        <v>5.3673886391499792</v>
      </c>
      <c r="H120" s="3">
        <f t="shared" ref="H120:I120" si="117">H119/H27</f>
        <v>5.3140799130198415</v>
      </c>
      <c r="I120" s="3">
        <f t="shared" si="117"/>
        <v>5.1675727099755386</v>
      </c>
      <c r="J120" s="3">
        <f t="shared" ref="J120:K120" si="118">J119/J27</f>
        <v>4.911808669656204</v>
      </c>
      <c r="K120" s="3">
        <f t="shared" si="118"/>
        <v>4.4618937644341798</v>
      </c>
      <c r="L120" s="3">
        <f t="shared" ref="L120:M120" si="119">L119/L27</f>
        <v>4.0482205922303738</v>
      </c>
      <c r="M120" s="3">
        <f t="shared" si="119"/>
        <v>3.8144525944036953</v>
      </c>
      <c r="N120" s="3">
        <f t="shared" ref="N120:Q120" si="120">N119/N27</f>
        <v>3.9493344199945666</v>
      </c>
      <c r="O120" s="3">
        <f t="shared" ref="O120" si="121">O119/O27</f>
        <v>3.8019047619047628</v>
      </c>
      <c r="P120" s="3">
        <f t="shared" si="120"/>
        <v>3.9271366358192683</v>
      </c>
      <c r="Q120" s="3">
        <f t="shared" si="120"/>
        <v>3.821720195971694</v>
      </c>
      <c r="R120" s="3">
        <f t="shared" ref="R120" si="122">R119/R27</f>
        <v>3.7770518579011854</v>
      </c>
      <c r="S120" s="3">
        <f>S119/S27</f>
        <v>3.7529267628641421</v>
      </c>
      <c r="T120" s="3">
        <f>T119/T27</f>
        <v>3.9105635720119789</v>
      </c>
      <c r="AA120" s="3">
        <f t="shared" ref="AA120" si="123">AA119/AA27</f>
        <v>3.9493344199945666</v>
      </c>
      <c r="AB120" s="3">
        <f>AB119/AB27</f>
        <v>3.7770518579011854</v>
      </c>
    </row>
    <row r="121" spans="2:28">
      <c r="F121" s="27"/>
    </row>
    <row r="122" spans="2:28" s="39" customFormat="1">
      <c r="B122" s="39" t="s">
        <v>6</v>
      </c>
      <c r="F122" s="52">
        <f t="shared" ref="F122" si="124">F59+F60+F72+F74</f>
        <v>3211.9</v>
      </c>
      <c r="H122" s="52">
        <f t="shared" ref="H122:I122" si="125">H59+H60+H72+H74</f>
        <v>2480.8999999999996</v>
      </c>
      <c r="I122" s="52">
        <f t="shared" si="125"/>
        <v>2177.2000000000003</v>
      </c>
      <c r="J122" s="52">
        <f t="shared" ref="J122:K122" si="126">J59+J60+J72+J74</f>
        <v>2780.6</v>
      </c>
      <c r="K122" s="52">
        <f t="shared" si="126"/>
        <v>2501.1</v>
      </c>
      <c r="L122" s="52">
        <f t="shared" ref="L122:O122" si="127">L59+L60+L72+L74</f>
        <v>1998.9</v>
      </c>
      <c r="M122" s="52">
        <f t="shared" ref="M122" si="128">M59+M60+M72+M74</f>
        <v>2503.6999999999998</v>
      </c>
      <c r="N122" s="52">
        <f t="shared" si="127"/>
        <v>2753.6</v>
      </c>
      <c r="O122" s="52">
        <f t="shared" si="127"/>
        <v>2463.4</v>
      </c>
      <c r="P122" s="52">
        <f t="shared" ref="P122:Q122" si="129">P59+P60+P72+P74</f>
        <v>2514.3000000000002</v>
      </c>
      <c r="Q122" s="52">
        <f t="shared" si="129"/>
        <v>2503.6999999999998</v>
      </c>
      <c r="R122" s="52">
        <f t="shared" ref="R122" si="130">R59+R60+R72+R74</f>
        <v>2634.7</v>
      </c>
      <c r="S122" s="52">
        <f t="shared" ref="S122" si="131">S59+S60+S72+S74</f>
        <v>2104.1999999999998</v>
      </c>
      <c r="T122" s="52">
        <f>T59+T60+T72+T74</f>
        <v>1968.2</v>
      </c>
      <c r="AA122" s="52">
        <f t="shared" ref="AA122" si="132">AA59+AA60+AA72+AA74</f>
        <v>2753.6</v>
      </c>
      <c r="AB122" s="52">
        <f>AB59+AB60+AB72+AB74</f>
        <v>2634.7</v>
      </c>
    </row>
    <row r="123" spans="2:28" s="39" customFormat="1">
      <c r="B123" s="39" t="s">
        <v>7</v>
      </c>
      <c r="F123" s="52">
        <f t="shared" ref="F123" si="133">F90+F94+F104+F91+F105</f>
        <v>3997.2000000000003</v>
      </c>
      <c r="H123" s="52">
        <f t="shared" ref="H123:I123" si="134">H90+H94+H104+H91+H105</f>
        <v>3879.5</v>
      </c>
      <c r="I123" s="52">
        <f t="shared" si="134"/>
        <v>3811.6</v>
      </c>
      <c r="J123" s="52">
        <f t="shared" ref="J123:K123" si="135">J90+J94+J104+J91+J105</f>
        <v>3414.4</v>
      </c>
      <c r="K123" s="52">
        <f t="shared" si="135"/>
        <v>3862.2</v>
      </c>
      <c r="L123" s="52">
        <f>L90+L94+L104+L91+L105</f>
        <v>3826.3999999999996</v>
      </c>
      <c r="M123" s="52">
        <f t="shared" ref="M123" si="136">M90+M94+M104+M91+M105</f>
        <v>4310.1000000000004</v>
      </c>
      <c r="N123" s="52">
        <f>N90+N94+N104+N91+N105</f>
        <v>4449.2</v>
      </c>
      <c r="O123" s="52">
        <f t="shared" ref="O123" si="137">O90+O94+O104+O91+O105</f>
        <v>4380</v>
      </c>
      <c r="P123" s="52">
        <f t="shared" ref="P123:T123" si="138">P90+P94+P104+P91+P105</f>
        <v>4334.0999999999995</v>
      </c>
      <c r="Q123" s="52">
        <f t="shared" si="138"/>
        <v>4310.1000000000004</v>
      </c>
      <c r="R123" s="52">
        <f t="shared" si="138"/>
        <v>4029.7999999999997</v>
      </c>
      <c r="S123" s="52">
        <f t="shared" si="138"/>
        <v>3559</v>
      </c>
      <c r="T123" s="52">
        <f t="shared" si="138"/>
        <v>3173.8999999999996</v>
      </c>
      <c r="AA123" s="52">
        <f t="shared" ref="AA123:AB123" si="139">AA90+AA94+AA104+AA91+AA105</f>
        <v>4449.2</v>
      </c>
      <c r="AB123" s="52">
        <f t="shared" si="139"/>
        <v>4029.7999999999997</v>
      </c>
    </row>
    <row r="124" spans="2:28">
      <c r="B124" s="3" t="s">
        <v>8</v>
      </c>
      <c r="F124" s="27">
        <f t="shared" ref="F124" si="140">F122-F123</f>
        <v>-785.30000000000018</v>
      </c>
      <c r="H124" s="27">
        <f t="shared" ref="H124:I124" si="141">H122-H123</f>
        <v>-1398.6000000000004</v>
      </c>
      <c r="I124" s="27">
        <f t="shared" si="141"/>
        <v>-1634.3999999999996</v>
      </c>
      <c r="J124" s="27">
        <f t="shared" ref="J124:K124" si="142">J122-J123</f>
        <v>-633.80000000000018</v>
      </c>
      <c r="K124" s="27">
        <f t="shared" si="142"/>
        <v>-1361.1</v>
      </c>
      <c r="L124" s="27">
        <f t="shared" ref="L124:M124" si="143">L122-L123</f>
        <v>-1827.4999999999995</v>
      </c>
      <c r="M124" s="27">
        <f t="shared" si="143"/>
        <v>-1806.4000000000005</v>
      </c>
      <c r="N124" s="27">
        <f t="shared" ref="N124:R124" si="144">N122-N123</f>
        <v>-1695.6</v>
      </c>
      <c r="O124" s="27">
        <f t="shared" ref="O124" si="145">O122-O123</f>
        <v>-1916.6</v>
      </c>
      <c r="P124" s="27">
        <f t="shared" si="144"/>
        <v>-1819.7999999999993</v>
      </c>
      <c r="Q124" s="27">
        <f t="shared" si="144"/>
        <v>-1806.4000000000005</v>
      </c>
      <c r="R124" s="27">
        <f t="shared" si="144"/>
        <v>-1395.1</v>
      </c>
      <c r="S124" s="27">
        <f>S122-S123</f>
        <v>-1454.8000000000002</v>
      </c>
      <c r="T124" s="27">
        <f>T122-T123</f>
        <v>-1205.6999999999996</v>
      </c>
      <c r="AA124" s="27">
        <f t="shared" ref="AA124" si="146">AA122-AA123</f>
        <v>-1695.6</v>
      </c>
      <c r="AB124" s="27">
        <f>AB122-AB123</f>
        <v>-1395.1</v>
      </c>
    </row>
    <row r="126" spans="2:28" s="2" customFormat="1">
      <c r="B126" s="2" t="s">
        <v>134</v>
      </c>
      <c r="J126" s="34">
        <f t="shared" ref="J126:L126" si="147">J66/F66-1</f>
        <v>-4.9062624650977216E-2</v>
      </c>
      <c r="K126" s="34" t="e">
        <f t="shared" ref="K126" si="148">K66/G66-1</f>
        <v>#DIV/0!</v>
      </c>
      <c r="L126" s="34">
        <f t="shared" si="147"/>
        <v>4.1440601804080712E-2</v>
      </c>
      <c r="M126" s="34">
        <f t="shared" ref="M126" si="149">M66/I66-1</f>
        <v>-0.25227884646576049</v>
      </c>
      <c r="N126" s="34">
        <f t="shared" ref="N126" si="150">N66/J66-1</f>
        <v>2.2609060402684511E-2</v>
      </c>
      <c r="O126" s="34">
        <f t="shared" ref="O126" si="151">O66/K66-1</f>
        <v>-0.15109561412504702</v>
      </c>
      <c r="P126" s="34">
        <f t="shared" ref="P126:S126" si="152">P66/L66-1</f>
        <v>-0.26009971874200977</v>
      </c>
      <c r="Q126" s="34">
        <f t="shared" si="152"/>
        <v>0</v>
      </c>
      <c r="R126" s="34">
        <f t="shared" si="152"/>
        <v>-0.18536445301283899</v>
      </c>
      <c r="S126" s="34">
        <f t="shared" si="152"/>
        <v>-0.10490073692264323</v>
      </c>
      <c r="T126" s="34">
        <f>T66/P66-1</f>
        <v>3.36501079913607E-2</v>
      </c>
      <c r="AB126" s="34">
        <f>AB66/AA66-1</f>
        <v>-0.18536445301283899</v>
      </c>
    </row>
    <row r="127" spans="2:28">
      <c r="B127" s="3" t="s">
        <v>135</v>
      </c>
      <c r="I127" s="25">
        <f t="shared" ref="I127" si="153">I66/H66-1</f>
        <v>2.6095929168192145E-2</v>
      </c>
      <c r="J127" s="25">
        <f t="shared" ref="J127" si="154">J66/I66-1</f>
        <v>-0.22665196094332885</v>
      </c>
      <c r="K127" s="25">
        <f t="shared" ref="K127:P127" si="155">K66/J66-1</f>
        <v>0.22705536912751678</v>
      </c>
      <c r="L127" s="25">
        <f t="shared" si="155"/>
        <v>6.9565514648070259E-2</v>
      </c>
      <c r="M127" s="25">
        <f t="shared" si="155"/>
        <v>-0.26329583226796216</v>
      </c>
      <c r="N127" s="25">
        <f t="shared" si="155"/>
        <v>5.7657266811279806E-2</v>
      </c>
      <c r="O127" s="25">
        <f t="shared" si="155"/>
        <v>1.862258501169034E-2</v>
      </c>
      <c r="P127" s="25">
        <f t="shared" si="155"/>
        <v>-6.7772721781500511E-2</v>
      </c>
      <c r="Q127" s="25">
        <f>Q66/P66-1</f>
        <v>-4.3196544276458138E-3</v>
      </c>
      <c r="R127" s="25">
        <f t="shared" ref="R127:S127" si="156">R66/Q66-1</f>
        <v>-0.13839479392624732</v>
      </c>
      <c r="S127" s="25">
        <f t="shared" si="156"/>
        <v>0.11923464249748239</v>
      </c>
      <c r="T127" s="25">
        <f>T66/S66-1</f>
        <v>7.6525103473096934E-2</v>
      </c>
      <c r="AA127" s="14" t="s">
        <v>191</v>
      </c>
      <c r="AB127" s="14" t="s">
        <v>191</v>
      </c>
    </row>
    <row r="129" spans="2:28">
      <c r="B129" s="3" t="s">
        <v>136</v>
      </c>
      <c r="P129" s="25">
        <f t="shared" ref="P129:S129" si="157">P66/SUM(M9:P9)</f>
        <v>0.51014786575288118</v>
      </c>
      <c r="Q129" s="25">
        <f t="shared" si="157"/>
        <v>0.48656407658370798</v>
      </c>
      <c r="R129" s="25">
        <f t="shared" si="157"/>
        <v>0.47317259125131039</v>
      </c>
      <c r="S129" s="25">
        <f t="shared" si="157"/>
        <v>0.55698105642978857</v>
      </c>
      <c r="T129" s="25">
        <f>T66/SUM(Q9:T9)</f>
        <v>0.61685399051350787</v>
      </c>
      <c r="AA129" s="25">
        <f t="shared" ref="AA129" si="158">AA66/AA9</f>
        <v>0.64646919996817909</v>
      </c>
      <c r="AB129" s="25">
        <f>AB66/AB9</f>
        <v>0.47317259125131039</v>
      </c>
    </row>
    <row r="131" spans="2:28">
      <c r="B131" s="3" t="s">
        <v>178</v>
      </c>
      <c r="H131" s="3">
        <v>20.22</v>
      </c>
      <c r="I131" s="3">
        <v>17.25</v>
      </c>
      <c r="J131" s="3">
        <v>19.489999999999998</v>
      </c>
      <c r="K131" s="3">
        <v>7.22</v>
      </c>
      <c r="L131" s="3">
        <v>5.98</v>
      </c>
      <c r="M131" s="3">
        <v>4.41</v>
      </c>
      <c r="N131" s="3">
        <v>6.81</v>
      </c>
      <c r="O131" s="3">
        <v>9.9600000000000009</v>
      </c>
      <c r="P131" s="3">
        <v>15.14</v>
      </c>
      <c r="Q131" s="27">
        <v>17</v>
      </c>
      <c r="R131" s="3">
        <v>13.9</v>
      </c>
      <c r="S131" s="3">
        <v>12.61</v>
      </c>
      <c r="T131" s="3">
        <v>8.7799999999999994</v>
      </c>
      <c r="AA131" s="3">
        <f>N131</f>
        <v>6.81</v>
      </c>
      <c r="AB131" s="3">
        <f>R131</f>
        <v>13.9</v>
      </c>
    </row>
    <row r="132" spans="2:28" s="27" customFormat="1">
      <c r="B132" s="27" t="s">
        <v>179</v>
      </c>
      <c r="H132" s="27">
        <f t="shared" ref="H132:I132" si="159">H131*H27</f>
        <v>14877.875999999998</v>
      </c>
      <c r="I132" s="27">
        <f t="shared" si="159"/>
        <v>12692.55</v>
      </c>
      <c r="J132" s="27">
        <f t="shared" ref="J132:K132" si="160">J131*J27</f>
        <v>14342.690999999999</v>
      </c>
      <c r="K132" s="27">
        <f t="shared" si="160"/>
        <v>5314.6419999999998</v>
      </c>
      <c r="L132" s="27">
        <f t="shared" ref="L132" si="161">L131*L27</f>
        <v>4402.4760000000006</v>
      </c>
      <c r="M132" s="27">
        <f t="shared" ref="M132:T132" si="162">M131*M27</f>
        <v>3246.6420000000003</v>
      </c>
      <c r="N132" s="27">
        <f t="shared" si="162"/>
        <v>5013.5219999999999</v>
      </c>
      <c r="O132" s="27">
        <f t="shared" si="162"/>
        <v>7320.6</v>
      </c>
      <c r="P132" s="27">
        <f t="shared" si="162"/>
        <v>11124.871999999999</v>
      </c>
      <c r="Q132" s="27">
        <f t="shared" si="162"/>
        <v>12491.599999999999</v>
      </c>
      <c r="R132" s="27">
        <f t="shared" si="162"/>
        <v>10212.330000000002</v>
      </c>
      <c r="S132" s="27">
        <f t="shared" si="162"/>
        <v>9263.3060000000005</v>
      </c>
      <c r="T132" s="27">
        <f t="shared" si="162"/>
        <v>6449.7879999999996</v>
      </c>
      <c r="AA132" s="27">
        <f t="shared" ref="AA132" si="163">AA131*AA27</f>
        <v>5013.5219999999999</v>
      </c>
      <c r="AB132" s="27">
        <f>AB131*AB27</f>
        <v>10212.330000000002</v>
      </c>
    </row>
    <row r="133" spans="2:28" s="27" customFormat="1">
      <c r="B133" s="27" t="s">
        <v>9</v>
      </c>
      <c r="H133" s="27">
        <f t="shared" ref="H133:I133" si="164">H132-H124</f>
        <v>16276.475999999999</v>
      </c>
      <c r="I133" s="27">
        <f t="shared" si="164"/>
        <v>14326.949999999999</v>
      </c>
      <c r="J133" s="27">
        <f t="shared" ref="J133:K133" si="165">J132-J124</f>
        <v>14976.490999999998</v>
      </c>
      <c r="K133" s="27">
        <f t="shared" si="165"/>
        <v>6675.7420000000002</v>
      </c>
      <c r="L133" s="27">
        <f t="shared" ref="L133" si="166">L132-L124</f>
        <v>6229.9760000000006</v>
      </c>
      <c r="M133" s="27">
        <f t="shared" ref="M133:T133" si="167">M132-M124</f>
        <v>5053.0420000000013</v>
      </c>
      <c r="N133" s="27">
        <f t="shared" si="167"/>
        <v>6709.1219999999994</v>
      </c>
      <c r="O133" s="27">
        <f t="shared" si="167"/>
        <v>9237.2000000000007</v>
      </c>
      <c r="P133" s="27">
        <f t="shared" si="167"/>
        <v>12944.671999999999</v>
      </c>
      <c r="Q133" s="27">
        <f t="shared" si="167"/>
        <v>14298</v>
      </c>
      <c r="R133" s="27">
        <f t="shared" si="167"/>
        <v>11607.430000000002</v>
      </c>
      <c r="S133" s="27">
        <f t="shared" si="167"/>
        <v>10718.106</v>
      </c>
      <c r="T133" s="27">
        <f t="shared" si="167"/>
        <v>7655.4879999999994</v>
      </c>
      <c r="AA133" s="27">
        <f t="shared" ref="AA133" si="168">AA132-AA124</f>
        <v>6709.1219999999994</v>
      </c>
      <c r="AB133" s="27">
        <f>AB132-AB124</f>
        <v>11607.430000000002</v>
      </c>
    </row>
    <row r="135" spans="2:28">
      <c r="B135" s="3" t="s">
        <v>26</v>
      </c>
      <c r="H135" s="57">
        <f t="shared" ref="H135:I135" si="169">H131/H120</f>
        <v>3.8049860617375519</v>
      </c>
      <c r="I135" s="57">
        <f t="shared" si="169"/>
        <v>3.3381242931909623</v>
      </c>
      <c r="J135" s="57">
        <f t="shared" ref="J135:K135" si="170">J131/J120</f>
        <v>3.9679884357881914</v>
      </c>
      <c r="K135" s="57">
        <f t="shared" si="170"/>
        <v>1.6181469979296066</v>
      </c>
      <c r="L135" s="57">
        <f>L131/L120</f>
        <v>1.4771922289702375</v>
      </c>
      <c r="M135" s="57">
        <f>M131/M120</f>
        <v>1.156129193077416</v>
      </c>
      <c r="N135" s="57">
        <f>N131/N120</f>
        <v>1.7243411865864144</v>
      </c>
      <c r="O135" s="57">
        <f t="shared" ref="O135" si="171">O131/O120</f>
        <v>2.6197394789579156</v>
      </c>
      <c r="P135" s="57">
        <f>P131/P120</f>
        <v>3.8552261874233302</v>
      </c>
      <c r="Q135" s="57">
        <f>Q131/Q120</f>
        <v>4.4482586710348251</v>
      </c>
      <c r="R135" s="57">
        <f>R131/R120</f>
        <v>3.6801189189189176</v>
      </c>
      <c r="S135" s="57">
        <f>S131/S120</f>
        <v>3.3600442526025622</v>
      </c>
      <c r="T135" s="57">
        <f>T131/T120</f>
        <v>2.2452006822849584</v>
      </c>
      <c r="AA135" s="57">
        <f>AA131/AA120</f>
        <v>1.7243411865864144</v>
      </c>
      <c r="AB135" s="57">
        <f>AB131/AB120</f>
        <v>3.6801189189189176</v>
      </c>
    </row>
    <row r="136" spans="2:28">
      <c r="B136" s="3" t="s">
        <v>27</v>
      </c>
      <c r="L136" s="57">
        <f t="shared" ref="L136" si="172">L131/SUM(I9:L9)</f>
        <v>1.3493997653217802E-3</v>
      </c>
      <c r="M136" s="57">
        <f t="shared" ref="M136" si="173">M131/SUM(J9:M9)</f>
        <v>1.0984631479313523E-3</v>
      </c>
      <c r="N136" s="57">
        <f t="shared" ref="N136" si="174">N131/SUM(K9:N9)</f>
        <v>1.8058391450770329E-3</v>
      </c>
      <c r="O136" s="57">
        <f t="shared" ref="O136" si="175">O131/SUM(L9:O9)</f>
        <v>2.5249708462201492E-3</v>
      </c>
      <c r="P136" s="57">
        <f t="shared" ref="P136:S136" si="176">P131/SUM(M9:P9)</f>
        <v>3.3363450053989726E-3</v>
      </c>
      <c r="Q136" s="57">
        <f t="shared" si="176"/>
        <v>3.5885419964958943E-3</v>
      </c>
      <c r="R136" s="57">
        <f t="shared" si="176"/>
        <v>3.3117316306108839E-3</v>
      </c>
      <c r="S136" s="57">
        <f t="shared" si="176"/>
        <v>3.1597674651698908E-3</v>
      </c>
      <c r="T136" s="57">
        <f>T131/SUM(Q9:T9)</f>
        <v>2.2633532687151986E-3</v>
      </c>
      <c r="AA136" s="57">
        <f t="shared" ref="AA136" si="177">AA132/AA9</f>
        <v>1.3294587786057119</v>
      </c>
      <c r="AB136" s="57">
        <f>AB132/AB9</f>
        <v>2.4331292290098165</v>
      </c>
    </row>
    <row r="137" spans="2:28">
      <c r="B137" s="3" t="s">
        <v>28</v>
      </c>
      <c r="L137" s="57">
        <f t="shared" ref="L137" si="178">L131/SUM(I26:L26)</f>
        <v>-4.921897835209367</v>
      </c>
      <c r="M137" s="57">
        <f t="shared" ref="M137" si="179">M131/SUM(J26:M26)</f>
        <v>-3.4596705334508839</v>
      </c>
      <c r="N137" s="57">
        <f t="shared" ref="N137" si="180">N131/SUM(K26:N26)</f>
        <v>-6.8505742659676452</v>
      </c>
      <c r="O137" s="57">
        <f t="shared" ref="O137" si="181">O131/SUM(L26:O26)</f>
        <v>-13.844238952468716</v>
      </c>
      <c r="P137" s="57">
        <f t="shared" ref="P137:S137" si="182">P131/SUM(M26:P26)</f>
        <v>-88.265429889576552</v>
      </c>
      <c r="Q137" s="57">
        <f t="shared" si="182"/>
        <v>-249.48613055071797</v>
      </c>
      <c r="R137" s="57">
        <f t="shared" si="182"/>
        <v>-228.62115367889854</v>
      </c>
      <c r="S137" s="57">
        <f t="shared" si="182"/>
        <v>697.1161832155442</v>
      </c>
      <c r="T137" s="57">
        <f>T131/SUM(Q26:T26)</f>
        <v>-16621.554193892349</v>
      </c>
      <c r="AA137" s="57">
        <f>AA131/AA26</f>
        <v>-6.8500095641481078</v>
      </c>
      <c r="AB137" s="57">
        <f>AB131/AB26</f>
        <v>-228.46375838926176</v>
      </c>
    </row>
  </sheetData>
  <hyperlinks>
    <hyperlink ref="T1" r:id="rId1" xr:uid="{680599EF-35E5-444E-BE52-11E2AAE328C4}"/>
    <hyperlink ref="S1" r:id="rId2" xr:uid="{93CDF7DF-1EA6-42CA-BCC8-DA2865B51A26}"/>
    <hyperlink ref="Q1" r:id="rId3" xr:uid="{9752E2CB-3CEF-4245-BFA9-C0218E68B8CA}"/>
    <hyperlink ref="R1" r:id="rId4" xr:uid="{BA3118D8-58BD-4D30-9D14-69D83EF60AFC}"/>
    <hyperlink ref="AB1" r:id="rId5" xr:uid="{F4157810-6A61-4ACC-AAA5-22475F0942B7}"/>
    <hyperlink ref="L1" r:id="rId6" xr:uid="{4A2FE63D-A9F3-4037-935C-8455203BEE40}"/>
    <hyperlink ref="O1" r:id="rId7" xr:uid="{66600F56-CF80-42D1-8E73-9CE055BBB6DC}"/>
    <hyperlink ref="M1" r:id="rId8" xr:uid="{2AE4CA56-39D1-4F5D-9F20-09CE6D413D01}"/>
    <hyperlink ref="K1" r:id="rId9" xr:uid="{0065F09B-E102-4CAA-BD33-29109F5335BA}"/>
    <hyperlink ref="I1" r:id="rId10" xr:uid="{32463CDE-F6F0-4494-9C98-7AA14A13E3D2}"/>
    <hyperlink ref="J1" r:id="rId11" xr:uid="{D84EF78D-A3AC-46C1-8928-F728FE758F99}"/>
    <hyperlink ref="Z1" r:id="rId12" xr:uid="{4ACEBDC9-1AD7-4429-9A6E-EDAB58B0EC87}"/>
  </hyperlinks>
  <pageMargins left="0.7" right="0.7" top="0.75" bottom="0.75" header="0.3" footer="0.3"/>
  <pageSetup paperSize="256" orientation="portrait" horizontalDpi="203" verticalDpi="203" r:id="rId13"/>
  <ignoredErrors>
    <ignoredError sqref="AA71:AB71 AA102:AB102" formula="1"/>
    <ignoredError sqref="Q136:T136 P136 P129:T129 O136 L136:N137" formulaRange="1"/>
  </ignoredErrors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A0E5-563F-4C1F-B583-AD76D8E7BBD2}">
  <dimension ref="C4:D12"/>
  <sheetViews>
    <sheetView workbookViewId="0">
      <selection activeCell="D45" sqref="D45:D46"/>
    </sheetView>
  </sheetViews>
  <sheetFormatPr defaultRowHeight="12.75"/>
  <cols>
    <col min="1" max="16384" width="9.140625" style="3"/>
  </cols>
  <sheetData>
    <row r="4" spans="3:4">
      <c r="D4" s="3" t="s">
        <v>177</v>
      </c>
    </row>
    <row r="6" spans="3:4">
      <c r="C6" s="3" t="s">
        <v>188</v>
      </c>
      <c r="D6" s="3" t="s">
        <v>189</v>
      </c>
    </row>
    <row r="7" spans="3:4">
      <c r="C7" s="3" t="s">
        <v>181</v>
      </c>
      <c r="D7" s="3" t="s">
        <v>182</v>
      </c>
    </row>
    <row r="9" spans="3:4">
      <c r="C9" s="3" t="s">
        <v>198</v>
      </c>
      <c r="D9" s="3" t="s">
        <v>199</v>
      </c>
    </row>
    <row r="10" spans="3:4">
      <c r="C10" s="3" t="s">
        <v>193</v>
      </c>
      <c r="D10" s="3" t="s">
        <v>194</v>
      </c>
    </row>
    <row r="12" spans="3:4">
      <c r="C12" s="3" t="s">
        <v>210</v>
      </c>
      <c r="D12" s="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Order &amp;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2022-10-06T22:47:01Z</dcterms:created>
  <dcterms:modified xsi:type="dcterms:W3CDTF">2022-10-13T19:51:42Z</dcterms:modified>
</cp:coreProperties>
</file>