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C13B700-6766-4025-B875-39C23EBFC806}" xr6:coauthVersionLast="36" xr6:coauthVersionMax="47" xr10:uidLastSave="{00000000-0000-0000-0000-000000000000}"/>
  <bookViews>
    <workbookView xWindow="0" yWindow="495" windowWidth="28800" windowHeight="18900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2" l="1"/>
  <c r="Q80" i="2"/>
  <c r="Q79" i="2"/>
  <c r="Q77" i="2"/>
  <c r="U76" i="2"/>
  <c r="Q63" i="2"/>
  <c r="Q67" i="2" s="1"/>
  <c r="Q70" i="2" s="1"/>
  <c r="Q51" i="2"/>
  <c r="Q56" i="2" s="1"/>
  <c r="Q72" i="2" s="1"/>
  <c r="Q73" i="2" s="1"/>
  <c r="Q87" i="2" s="1"/>
  <c r="Q81" i="2" l="1"/>
  <c r="Q85" i="2"/>
  <c r="U30" i="2"/>
  <c r="U29" i="2"/>
  <c r="U28" i="2"/>
  <c r="U27" i="2"/>
  <c r="Q10" i="2"/>
  <c r="Q13" i="2" s="1"/>
  <c r="Q18" i="2" s="1"/>
  <c r="Q20" i="2" s="1"/>
  <c r="Q22" i="2" s="1"/>
  <c r="U84" i="2"/>
  <c r="C7" i="1"/>
  <c r="U80" i="2"/>
  <c r="C10" i="1" s="1"/>
  <c r="U79" i="2"/>
  <c r="U81" i="2" s="1"/>
  <c r="U77" i="2"/>
  <c r="U63" i="2"/>
  <c r="U67" i="2" s="1"/>
  <c r="U70" i="2" s="1"/>
  <c r="U51" i="2"/>
  <c r="U56" i="2" s="1"/>
  <c r="Q23" i="2" l="1"/>
  <c r="Q37" i="2"/>
  <c r="Q35" i="2"/>
  <c r="Q36" i="2"/>
  <c r="Q38" i="2"/>
  <c r="C9" i="1"/>
  <c r="U85" i="2"/>
  <c r="U72" i="2"/>
  <c r="U73" i="2" s="1"/>
  <c r="U8" i="2"/>
  <c r="U26" i="2" s="1"/>
  <c r="C36" i="1" l="1"/>
  <c r="U87" i="2"/>
  <c r="U10" i="2"/>
  <c r="Y7" i="2"/>
  <c r="P84" i="2"/>
  <c r="T84" i="2"/>
  <c r="P80" i="2"/>
  <c r="P79" i="2"/>
  <c r="P81" i="2" s="1"/>
  <c r="T80" i="2"/>
  <c r="T79" i="2"/>
  <c r="T81" i="2" s="1"/>
  <c r="Z84" i="2"/>
  <c r="AA84" i="2"/>
  <c r="Z80" i="2"/>
  <c r="Z79" i="2"/>
  <c r="Z81" i="2" s="1"/>
  <c r="Z85" i="2" s="1"/>
  <c r="AA80" i="2"/>
  <c r="AA79" i="2"/>
  <c r="AA81" i="2" s="1"/>
  <c r="AA85" i="2" s="1"/>
  <c r="P85" i="2" l="1"/>
  <c r="T85" i="2"/>
  <c r="U35" i="2"/>
  <c r="U13" i="2"/>
  <c r="Z30" i="2"/>
  <c r="Z29" i="2"/>
  <c r="Z28" i="2"/>
  <c r="Z27" i="2"/>
  <c r="U18" i="2" l="1"/>
  <c r="U36" i="2"/>
  <c r="Y10" i="2"/>
  <c r="P22" i="2"/>
  <c r="P23" i="2" s="1"/>
  <c r="U38" i="2" l="1"/>
  <c r="U20" i="2"/>
  <c r="U22" i="2" s="1"/>
  <c r="Y13" i="2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T51" i="2"/>
  <c r="T56" i="2" s="1"/>
  <c r="T27" i="2"/>
  <c r="T28" i="2"/>
  <c r="T29" i="2"/>
  <c r="T30" i="2"/>
  <c r="P8" i="2"/>
  <c r="T8" i="2"/>
  <c r="Q31" i="2" l="1"/>
  <c r="P10" i="2"/>
  <c r="U31" i="2"/>
  <c r="P37" i="2"/>
  <c r="U37" i="2"/>
  <c r="U23" i="2"/>
  <c r="P72" i="2"/>
  <c r="P73" i="2" s="1"/>
  <c r="P87" i="2" s="1"/>
  <c r="T72" i="2"/>
  <c r="T73" i="2" s="1"/>
  <c r="Y18" i="2"/>
  <c r="T26" i="2"/>
  <c r="T10" i="2"/>
  <c r="T87" i="2" l="1"/>
  <c r="Y20" i="2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AA30" i="2"/>
  <c r="AA29" i="2"/>
  <c r="AA28" i="2"/>
  <c r="AA27" i="2"/>
  <c r="S30" i="2"/>
  <c r="S29" i="2"/>
  <c r="S28" i="2"/>
  <c r="S27" i="2"/>
  <c r="Z8" i="2"/>
  <c r="Z89" i="2" s="1"/>
  <c r="AA8" i="2"/>
  <c r="AA89" i="2" s="1"/>
  <c r="O8" i="2"/>
  <c r="P31" i="2" s="1"/>
  <c r="S8" i="2"/>
  <c r="T31" i="2" s="1"/>
  <c r="Z10" i="2" l="1"/>
  <c r="Z88" i="2"/>
  <c r="Z26" i="2"/>
  <c r="AA10" i="2"/>
  <c r="AA35" i="2" s="1"/>
  <c r="AA88" i="2"/>
  <c r="AA26" i="2"/>
  <c r="S26" i="2"/>
  <c r="Z35" i="2"/>
  <c r="Z13" i="2"/>
  <c r="Z18" i="2" s="1"/>
  <c r="C11" i="1"/>
  <c r="C8" i="1"/>
  <c r="AA13" i="2" l="1"/>
  <c r="P35" i="2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<sst xmlns="http://schemas.openxmlformats.org/spreadsheetml/2006/main" count="1410" uniqueCount="1374">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</sst>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6350</xdr:colOff>
      <xdr:row>0</xdr:row>
      <xdr:rowOff>0</xdr:rowOff>
    </xdr:from>
    <xdr:to>
      <xdr:col>21</xdr:col>
      <xdr:colOff>6350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57543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D28" sqref="D28"/>
    </sheetView>
  </sheetViews>
  <sheetFormatPr defaultColWidth="9.140625"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52" t="s">
        <v>14</v>
      </c>
      <c r="S4" s="53"/>
      <c r="T4" s="53"/>
      <c r="U4" s="54"/>
      <c r="W4" s="52" t="s">
        <v>114</v>
      </c>
      <c r="X4" s="53"/>
      <c r="Y4" s="53"/>
      <c r="Z4" s="54"/>
    </row>
    <row r="5" spans="1:26" x14ac:dyDescent="0.2">
      <c r="B5" s="52" t="s">
        <v>2</v>
      </c>
      <c r="C5" s="53"/>
      <c r="D5" s="54"/>
      <c r="G5" s="52" t="s">
        <v>38</v>
      </c>
      <c r="H5" s="53"/>
      <c r="I5" s="53"/>
      <c r="J5" s="53"/>
      <c r="K5" s="53"/>
      <c r="L5" s="53"/>
      <c r="M5" s="53"/>
      <c r="N5" s="53"/>
      <c r="O5" s="53"/>
      <c r="P5" s="54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28.02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f>'Financial Model'!U24</f>
        <v>387.68799999999999</v>
      </c>
      <c r="D7" s="5" t="s">
        <v>153</v>
      </c>
      <c r="G7" s="29">
        <v>44743</v>
      </c>
      <c r="H7" s="9" t="s">
        <v>90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10863.017759999999</v>
      </c>
      <c r="D8" s="5"/>
      <c r="G8" s="19"/>
      <c r="H8" s="30" t="s">
        <v>91</v>
      </c>
      <c r="I8" s="9"/>
      <c r="J8" s="9"/>
      <c r="K8" s="9"/>
      <c r="L8" s="9"/>
      <c r="M8" s="9"/>
      <c r="N8" s="9"/>
      <c r="O8" s="9"/>
      <c r="P8" s="31" t="s">
        <v>73</v>
      </c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f>'Financial Model'!U79</f>
        <v>552.81100000000004</v>
      </c>
      <c r="D9" s="5" t="s">
        <v>153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'Financial Model'!U80</f>
        <v>5218.8459999999995</v>
      </c>
      <c r="D10" s="5" t="s">
        <v>153</v>
      </c>
      <c r="G10" s="19"/>
      <c r="H10" s="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-4666.0349999999999</v>
      </c>
      <c r="D11" s="5" t="s">
        <v>153</v>
      </c>
      <c r="G11" s="19"/>
      <c r="H11" s="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15529.052759999999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52" t="s">
        <v>10</v>
      </c>
      <c r="C15" s="53"/>
      <c r="D15" s="54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5" t="s">
        <v>75</v>
      </c>
      <c r="D16" s="56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5" t="s">
        <v>78</v>
      </c>
      <c r="D17" s="56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57" t="s">
        <v>81</v>
      </c>
      <c r="D19" s="58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52" t="s">
        <v>31</v>
      </c>
      <c r="C22" s="53"/>
      <c r="D22" s="54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5" t="s">
        <v>74</v>
      </c>
      <c r="D23" s="56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5">
        <v>1899</v>
      </c>
      <c r="D24" s="56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2">
      <c r="B25" s="19" t="s">
        <v>34</v>
      </c>
      <c r="C25" s="61">
        <v>1297</v>
      </c>
      <c r="D25" s="62"/>
    </row>
    <row r="26" spans="1:21" x14ac:dyDescent="0.2">
      <c r="B26" s="19" t="s">
        <v>144</v>
      </c>
      <c r="C26" s="63">
        <f>'Financial Model'!T47</f>
        <v>2341.395</v>
      </c>
      <c r="D26" s="64"/>
    </row>
    <row r="27" spans="1:21" x14ac:dyDescent="0.2">
      <c r="B27" s="19"/>
      <c r="C27" s="55"/>
      <c r="D27" s="56"/>
    </row>
    <row r="28" spans="1:21" x14ac:dyDescent="0.2">
      <c r="B28" s="19" t="s">
        <v>35</v>
      </c>
      <c r="C28" s="51" t="s">
        <v>153</v>
      </c>
      <c r="D28" s="67">
        <v>44860</v>
      </c>
    </row>
    <row r="29" spans="1:21" x14ac:dyDescent="0.2">
      <c r="B29" s="20" t="s">
        <v>36</v>
      </c>
      <c r="C29" s="65" t="s">
        <v>73</v>
      </c>
      <c r="D29" s="66"/>
    </row>
    <row r="32" spans="1:21" x14ac:dyDescent="0.2">
      <c r="B32" s="52" t="s">
        <v>37</v>
      </c>
      <c r="C32" s="53"/>
      <c r="D32" s="54"/>
    </row>
    <row r="33" spans="2:8" x14ac:dyDescent="0.2">
      <c r="B33" s="19" t="s">
        <v>82</v>
      </c>
      <c r="C33" s="59">
        <f>C12/'Financial Model'!AA22</f>
        <v>11.196943949135527</v>
      </c>
      <c r="D33" s="60"/>
    </row>
    <row r="34" spans="2:8" x14ac:dyDescent="0.2">
      <c r="B34" s="19" t="s">
        <v>83</v>
      </c>
      <c r="C34" s="59">
        <f>C6/'Financial Model'!AA23</f>
        <v>7.8851726402966102</v>
      </c>
      <c r="D34" s="60"/>
      <c r="H34" s="1" t="s">
        <v>11</v>
      </c>
    </row>
    <row r="35" spans="2:8" x14ac:dyDescent="0.2">
      <c r="B35" s="19" t="s">
        <v>84</v>
      </c>
      <c r="C35" s="55"/>
      <c r="D35" s="56"/>
      <c r="H35" s="1" t="s">
        <v>119</v>
      </c>
    </row>
    <row r="36" spans="2:8" x14ac:dyDescent="0.2">
      <c r="B36" s="19" t="s">
        <v>85</v>
      </c>
      <c r="C36" s="59">
        <f>C6/'Financial Model'!U73</f>
        <v>3.5205117389089331</v>
      </c>
      <c r="D36" s="60"/>
    </row>
    <row r="37" spans="2:8" x14ac:dyDescent="0.2">
      <c r="B37" s="19"/>
      <c r="C37" s="55"/>
      <c r="D37" s="56"/>
    </row>
    <row r="38" spans="2:8" x14ac:dyDescent="0.2">
      <c r="B38" s="19" t="s">
        <v>86</v>
      </c>
      <c r="C38" s="55"/>
      <c r="D38" s="56"/>
    </row>
    <row r="39" spans="2:8" x14ac:dyDescent="0.2">
      <c r="B39" s="19" t="s">
        <v>87</v>
      </c>
      <c r="C39" s="55"/>
      <c r="D39" s="56"/>
    </row>
    <row r="40" spans="2:8" x14ac:dyDescent="0.2">
      <c r="B40" s="20" t="s">
        <v>88</v>
      </c>
      <c r="C40" s="57"/>
      <c r="D40" s="58"/>
    </row>
  </sheetData>
  <mergeCells count="24">
    <mergeCell ref="C40:D40"/>
    <mergeCell ref="C34:D34"/>
    <mergeCell ref="C35:D35"/>
    <mergeCell ref="C36:D36"/>
    <mergeCell ref="C37:D37"/>
    <mergeCell ref="C38:D38"/>
    <mergeCell ref="C39:D39"/>
    <mergeCell ref="C33:D33"/>
    <mergeCell ref="C24:D24"/>
    <mergeCell ref="C25:D25"/>
    <mergeCell ref="C26:D26"/>
    <mergeCell ref="C27:D27"/>
    <mergeCell ref="C29:D29"/>
    <mergeCell ref="B32:D32"/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</mergeCells>
  <hyperlinks>
    <hyperlink ref="C29:D29" r:id="rId1" display="Link" xr:uid="{12A2B318-E58C-4145-8299-C01CCCEE70D1}"/>
    <hyperlink ref="P8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V1" sqref="V1"/>
    </sheetView>
  </sheetViews>
  <sheetFormatPr defaultColWidth="9.140625"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32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Q2" s="33">
        <v>44834</v>
      </c>
      <c r="S2" s="33">
        <v>44651</v>
      </c>
      <c r="T2" s="33">
        <v>44744</v>
      </c>
      <c r="U2" s="33">
        <v>44834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Q3" s="35">
        <v>1090.3</v>
      </c>
      <c r="S3" s="35">
        <v>991.2</v>
      </c>
      <c r="T3" s="34">
        <v>946.8</v>
      </c>
      <c r="U3" s="34">
        <v>952.1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Q4" s="35">
        <v>883.7</v>
      </c>
      <c r="S4" s="35">
        <v>769.5</v>
      </c>
      <c r="T4" s="34">
        <v>481.1</v>
      </c>
      <c r="U4" s="34">
        <v>950.8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Q5" s="35">
        <v>545.4</v>
      </c>
      <c r="S5" s="35">
        <v>434.9</v>
      </c>
      <c r="T5" s="34">
        <v>269.5</v>
      </c>
      <c r="U5" s="34">
        <v>524.20000000000005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Q6" s="35">
        <v>230</v>
      </c>
      <c r="S6" s="35">
        <v>197</v>
      </c>
      <c r="T6" s="34">
        <v>170.4</v>
      </c>
      <c r="U6" s="34">
        <v>186.4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Q7" s="35">
        <v>448.7</v>
      </c>
      <c r="S7" s="35">
        <v>432.1</v>
      </c>
      <c r="T7" s="34">
        <v>393.9</v>
      </c>
      <c r="U7" s="34">
        <v>467.1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Q8" s="36">
        <v>3198.2350000000001</v>
      </c>
      <c r="S8" s="36">
        <f>SUM(S3:S7)</f>
        <v>2824.7</v>
      </c>
      <c r="T8" s="36">
        <f>SUM(T3:T7)</f>
        <v>2261.7000000000003</v>
      </c>
      <c r="U8" s="36">
        <f>SUM(U3:U7)</f>
        <v>3080.6000000000004</v>
      </c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Q9" s="42">
        <v>1479.4459999999999</v>
      </c>
      <c r="S9" s="42"/>
      <c r="T9" s="42">
        <v>1042.982</v>
      </c>
      <c r="U9" s="42">
        <v>1498.1769999999999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P8-P9</f>
        <v>1239.049</v>
      </c>
      <c r="Q10" s="36">
        <f>Q8-Q9</f>
        <v>1718.7890000000002</v>
      </c>
      <c r="S10" s="36"/>
      <c r="T10" s="36">
        <f>T8-T9</f>
        <v>1218.7180000000003</v>
      </c>
      <c r="U10" s="36">
        <f>U8-U9</f>
        <v>1582.4230000000005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Q11" s="42">
        <v>1160.3030000000001</v>
      </c>
      <c r="T11" s="42">
        <v>1155.251</v>
      </c>
      <c r="U11" s="42">
        <v>1251.32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Q12" s="42">
        <v>0</v>
      </c>
      <c r="T12" s="1">
        <v>0</v>
      </c>
      <c r="U12" s="42">
        <v>421.92200000000003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202.92699999999991</v>
      </c>
      <c r="Q13" s="36">
        <f>Q10-Q11-Q12</f>
        <v>558.4860000000001</v>
      </c>
      <c r="T13" s="36">
        <f>T10-T11-T12</f>
        <v>63.467000000000326</v>
      </c>
      <c r="U13" s="36">
        <f>U10-U11-U12</f>
        <v>-90.818999999999505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Q14" s="42">
        <v>0</v>
      </c>
      <c r="T14" s="1">
        <v>0</v>
      </c>
      <c r="U14" s="42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Q15" s="42">
        <v>34.369999999999997</v>
      </c>
      <c r="T15" s="1">
        <v>31.262</v>
      </c>
      <c r="U15" s="42">
        <v>33.902999999999999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Q16" s="42">
        <v>0</v>
      </c>
      <c r="T16" s="1">
        <v>0</v>
      </c>
      <c r="U16" s="42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Q17" s="42">
        <v>7.5490000000000004</v>
      </c>
      <c r="T17" s="1">
        <v>-94.713999999999999</v>
      </c>
      <c r="U17" s="42">
        <v>-9.2799999999999994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179.1929999999999</v>
      </c>
      <c r="Q18" s="42">
        <f>Q13+Q14-Q15-Q16+Q17</f>
        <v>531.66500000000008</v>
      </c>
      <c r="T18" s="42">
        <f>T13+T14-T15-T16+T17</f>
        <v>-62.508999999999673</v>
      </c>
      <c r="U18" s="42">
        <f>U13+U14-U15-U16+U17</f>
        <v>-134.0019999999995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Q19" s="42">
        <v>67.611999999999995</v>
      </c>
      <c r="T19" s="1">
        <v>-6.6539999999999999</v>
      </c>
      <c r="U19" s="42">
        <v>-15.57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Q20" s="42">
        <f>Q18-Q19</f>
        <v>464.05300000000011</v>
      </c>
      <c r="T20" s="42">
        <f>T18-T19</f>
        <v>-55.854999999999677</v>
      </c>
      <c r="U20" s="42">
        <f>U18-U19</f>
        <v>-118.4319999999995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Q21" s="42">
        <v>0</v>
      </c>
      <c r="T21" s="1">
        <v>0</v>
      </c>
      <c r="U21" s="42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Q22" s="36">
        <f>Q20+Q21</f>
        <v>464.05300000000011</v>
      </c>
      <c r="T22" s="36">
        <f>T20+T21</f>
        <v>-55.854999999999677</v>
      </c>
      <c r="U22" s="36">
        <f>U20+U21</f>
        <v>-118.4319999999995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Q23" s="47">
        <f>Q22/Q24</f>
        <v>1.1844764522856002</v>
      </c>
      <c r="T23" s="47">
        <f>T22/T24</f>
        <v>-0.14411850460441186</v>
      </c>
      <c r="U23" s="47">
        <f>U22/U24</f>
        <v>-0.30548275933224528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Q24" s="42">
        <v>391.779</v>
      </c>
      <c r="T24" s="42">
        <v>387.56299999999999</v>
      </c>
      <c r="U24" s="46">
        <v>387.68799999999999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>
        <f t="shared" ref="U26" si="0">U8/Q8-1</f>
        <v>-3.6781224644217736E-2</v>
      </c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>
        <f t="shared" ref="U27:U30" si="1">U3/Q3-1</f>
        <v>-0.12675410437494261</v>
      </c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2">S4/O4-1</f>
        <v>0.23913043478260865</v>
      </c>
      <c r="T28" s="41">
        <f t="shared" si="2"/>
        <v>0.31376297105406903</v>
      </c>
      <c r="U28" s="41">
        <f t="shared" si="1"/>
        <v>7.5930745728188143E-2</v>
      </c>
      <c r="V28" s="41"/>
      <c r="W28" s="41"/>
      <c r="X28" s="41"/>
      <c r="Y28" s="41"/>
      <c r="Z28" s="41">
        <f t="shared" ref="Z28:AA31" si="3">Z4/Y4-1</f>
        <v>-8.9784428476183398E-2</v>
      </c>
      <c r="AA28" s="41">
        <f t="shared" si="3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2"/>
        <v>9.0521564694082235E-2</v>
      </c>
      <c r="T29" s="41">
        <f t="shared" si="2"/>
        <v>8.0593424218123433E-2</v>
      </c>
      <c r="U29" s="41">
        <f t="shared" si="1"/>
        <v>-3.8870553722038736E-2</v>
      </c>
      <c r="V29" s="41"/>
      <c r="W29" s="41"/>
      <c r="X29" s="41"/>
      <c r="Y29" s="41"/>
      <c r="Z29" s="41">
        <f t="shared" si="3"/>
        <v>-0.14461781999095424</v>
      </c>
      <c r="AA29" s="41">
        <f t="shared" si="3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2"/>
        <v>6.7750677506775103E-2</v>
      </c>
      <c r="T30" s="41">
        <f t="shared" si="2"/>
        <v>-0.14500752634219771</v>
      </c>
      <c r="U30" s="41">
        <f t="shared" si="1"/>
        <v>-0.18956521739130427</v>
      </c>
      <c r="V30" s="41"/>
      <c r="W30" s="41"/>
      <c r="X30" s="41"/>
      <c r="Y30" s="41"/>
      <c r="Z30" s="41">
        <f t="shared" si="3"/>
        <v>8.7428305689040364E-2</v>
      </c>
      <c r="AA30" s="41">
        <f t="shared" si="3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>
        <f>P8/O8-1</f>
        <v>-0.15026909823053403</v>
      </c>
      <c r="Q31" s="41">
        <f>Q8/P8-1</f>
        <v>0.45732024059054055</v>
      </c>
      <c r="R31" s="41"/>
      <c r="S31" s="41"/>
      <c r="T31" s="41">
        <f>T8/S8-1</f>
        <v>-0.19931320140191866</v>
      </c>
      <c r="U31" s="41">
        <f>U8/T8-1</f>
        <v>0.36207277711455976</v>
      </c>
      <c r="V31" s="41"/>
      <c r="W31" s="41"/>
      <c r="X31" s="41"/>
      <c r="Y31" s="41"/>
      <c r="Z31" s="38" t="s">
        <v>146</v>
      </c>
      <c r="AA31" s="41">
        <f t="shared" si="3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0.56458990248792496</v>
      </c>
      <c r="Q35" s="39">
        <f t="shared" ref="Q35" si="4">Q10/Q8</f>
        <v>0.5374179821057552</v>
      </c>
      <c r="T35" s="39">
        <f t="shared" ref="T35:U35" si="5">T10/T8</f>
        <v>0.53885042224875102</v>
      </c>
      <c r="U35" s="39">
        <f t="shared" si="5"/>
        <v>0.51367363500616769</v>
      </c>
      <c r="Y35" s="39">
        <f t="shared" ref="Y35" si="6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:Q36" si="7">P13/P8</f>
        <v>9.2466508703180489E-2</v>
      </c>
      <c r="Q36" s="39">
        <f t="shared" si="7"/>
        <v>0.17462319060356732</v>
      </c>
      <c r="T36" s="39">
        <f t="shared" ref="T36:U36" si="8">T13/T8</f>
        <v>2.8061635053278647E-2</v>
      </c>
      <c r="U36" s="39">
        <f t="shared" si="8"/>
        <v>-2.9480945270401706E-2</v>
      </c>
      <c r="Y36" s="39">
        <f t="shared" ref="Y36:Z36" si="9">Y13/Y8</f>
        <v>8.8458792611680798E-2</v>
      </c>
      <c r="Z36" s="39">
        <f t="shared" si="9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:Q37" si="10">P22/P8</f>
        <v>0.14774674200309854</v>
      </c>
      <c r="Q37" s="39">
        <f t="shared" si="10"/>
        <v>0.14509659233921213</v>
      </c>
      <c r="T37" s="39">
        <f t="shared" ref="T37" si="11">T22/T8</f>
        <v>-2.4696025113852268E-2</v>
      </c>
      <c r="U37" s="39">
        <f>U22/U8</f>
        <v>-3.8444458871648213E-2</v>
      </c>
      <c r="Y37" s="39">
        <f t="shared" ref="Y37:Z37" si="12">Y22/Y8</f>
        <v>6.4780032637476517E-2</v>
      </c>
      <c r="Z37" s="39">
        <f t="shared" si="12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:Q38" si="13">P19/P18</f>
        <v>0.14050772072569809</v>
      </c>
      <c r="Q38" s="39">
        <f t="shared" si="13"/>
        <v>0.12717030460910533</v>
      </c>
      <c r="T38" s="39">
        <f t="shared" ref="T38:U38" si="14">T19/T18</f>
        <v>0.10644867139132021</v>
      </c>
      <c r="U38" s="39">
        <f t="shared" si="14"/>
        <v>0.11619229563737898</v>
      </c>
      <c r="Y38" s="39">
        <f t="shared" ref="Y38:Z38" si="15">Y19/Y18</f>
        <v>0.13484725140537504</v>
      </c>
      <c r="Z38" s="39">
        <f t="shared" si="15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Q41" s="48">
        <v>1358</v>
      </c>
      <c r="T41" s="48">
        <v>1297</v>
      </c>
      <c r="U41" s="48">
        <v>1283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Q45" s="36">
        <v>1360.1379999999999</v>
      </c>
      <c r="T45" s="36">
        <v>528.029</v>
      </c>
      <c r="U45" s="36">
        <v>552.81100000000004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Q46" s="42">
        <v>1787.3314</v>
      </c>
      <c r="T46" s="42">
        <v>1249.713</v>
      </c>
      <c r="U46" s="42">
        <v>1834.598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Q47" s="36">
        <v>1464.7139999999999</v>
      </c>
      <c r="T47" s="36">
        <v>2341.395</v>
      </c>
      <c r="U47" s="36">
        <v>2749.8939999999998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Q48" s="36">
        <v>0</v>
      </c>
      <c r="T48" s="36">
        <v>0</v>
      </c>
      <c r="U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Q49" s="42">
        <v>357.68700000000001</v>
      </c>
      <c r="T49" s="42">
        <v>492.56900000000002</v>
      </c>
      <c r="U49" s="42">
        <v>550.94000000000005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Q50" s="42">
        <v>0</v>
      </c>
      <c r="T50" s="42">
        <v>0</v>
      </c>
      <c r="U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Q51" s="42">
        <f>SUM(Q45:Q50)</f>
        <v>4969.8703999999998</v>
      </c>
      <c r="T51" s="42">
        <f>SUM(T45:T50)</f>
        <v>4611.7060000000001</v>
      </c>
      <c r="U51" s="42">
        <f>SUM(U45:U50)</f>
        <v>5688.2430000000004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Q52" s="42">
        <v>1011.415</v>
      </c>
      <c r="T52" s="42">
        <v>1007.853</v>
      </c>
      <c r="U52" s="42">
        <v>984.11500000000001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Q53" s="42">
        <v>5434.009</v>
      </c>
      <c r="T53" s="42">
        <v>5343.6840000000002</v>
      </c>
      <c r="U53" s="42">
        <v>4878.7219999999998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Q54" s="42">
        <v>1380.6869999999999</v>
      </c>
      <c r="T54" s="42">
        <v>1227.462</v>
      </c>
      <c r="U54" s="42">
        <v>1217.172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Q55" s="42">
        <v>1093.6869999999999</v>
      </c>
      <c r="T55" s="42">
        <v>1021.048</v>
      </c>
      <c r="U55" s="42">
        <v>1015.89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Q56" s="42">
        <f>Q51+SUM(Q52:Q55)</f>
        <v>13889.668399999999</v>
      </c>
      <c r="T56" s="42">
        <f>T51+SUM(T52:T55)</f>
        <v>13211.753000000001</v>
      </c>
      <c r="U56" s="42">
        <f>U51+SUM(U52:U55)</f>
        <v>13784.142</v>
      </c>
      <c r="Z56" s="42">
        <f>Z51+SUM(Z52:Z55)</f>
        <v>13754.002</v>
      </c>
      <c r="AA56" s="42">
        <f>AA51+SUM(AA52:AA55)</f>
        <v>13342.201000000001</v>
      </c>
    </row>
    <row r="57" spans="2:27" x14ac:dyDescent="0.2">
      <c r="U57" s="42"/>
    </row>
    <row r="58" spans="2:27" s="3" customFormat="1" x14ac:dyDescent="0.2">
      <c r="B58" s="3" t="s">
        <v>131</v>
      </c>
      <c r="P58" s="36">
        <v>8.0909999999999993</v>
      </c>
      <c r="Q58" s="36">
        <v>10.173</v>
      </c>
      <c r="T58" s="36">
        <v>827.38</v>
      </c>
      <c r="U58" s="36">
        <v>1692.7449999999999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Q59" s="42">
        <v>1001.037</v>
      </c>
      <c r="T59" s="42">
        <v>1.0580000000000001</v>
      </c>
      <c r="U59" s="42">
        <v>832.13599999999997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Q60" s="42">
        <v>534.36500000000001</v>
      </c>
      <c r="T60" s="42">
        <v>1022.755</v>
      </c>
      <c r="U60" s="42">
        <v>1022.408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Q61" s="42">
        <v>1838.79</v>
      </c>
      <c r="T61" s="42">
        <v>1612.8040000000001</v>
      </c>
      <c r="U61" s="42">
        <v>1798.702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Q62" s="42">
        <v>0</v>
      </c>
      <c r="T62" s="42">
        <v>0</v>
      </c>
      <c r="U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Q63" s="42">
        <f>SUM(Q58:Q62)</f>
        <v>3384.3649999999998</v>
      </c>
      <c r="T63" s="42">
        <f>SUM(T58:T62)</f>
        <v>3463.9970000000003</v>
      </c>
      <c r="U63" s="42">
        <f>SUM(U58:U62)</f>
        <v>5345.991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Q64" s="36">
        <v>4682.7510000000002</v>
      </c>
      <c r="T64" s="36">
        <v>4468.3990000000003</v>
      </c>
      <c r="U64" s="36">
        <v>3526.1010000000001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Q65" s="42">
        <v>1146.944</v>
      </c>
      <c r="T65" s="42">
        <v>1006.274</v>
      </c>
      <c r="U65" s="42">
        <v>1022.451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Q66" s="42">
        <v>1076.546</v>
      </c>
      <c r="T66" s="42">
        <v>920.59</v>
      </c>
      <c r="U66" s="42">
        <v>803.96299999999997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Q67" s="42">
        <f>Q63+Q64+Q65+Q66</f>
        <v>10290.606</v>
      </c>
      <c r="T67" s="42">
        <f>T63+T64+T65+T66</f>
        <v>9859.26</v>
      </c>
      <c r="U67" s="42">
        <f>U63+U64+U65+U66</f>
        <v>10698.506000000001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Q69" s="42">
        <v>3598.4810000000002</v>
      </c>
      <c r="T69" s="42">
        <v>3352.4929999999999</v>
      </c>
      <c r="U69" s="42">
        <v>3085.636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Q70" s="42">
        <f>Q69+Q67</f>
        <v>13889.087</v>
      </c>
      <c r="T70" s="42">
        <f>T69+T67</f>
        <v>13211.753000000001</v>
      </c>
      <c r="U70" s="42">
        <f>U69+U67</f>
        <v>13784.142000000002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Q72" s="42">
        <f t="shared" ref="Q72" si="16">Q56-Q67</f>
        <v>3599.0623999999989</v>
      </c>
      <c r="T72" s="42">
        <f>T56-T67</f>
        <v>3352.4930000000004</v>
      </c>
      <c r="U72" s="42">
        <f>U56-U67</f>
        <v>3085.6359999999986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Q73" s="42">
        <f t="shared" ref="Q73" si="17">Q72/Q24</f>
        <v>9.1864607342404749</v>
      </c>
      <c r="T73" s="42">
        <f>T72/T24</f>
        <v>8.6501884854849411</v>
      </c>
      <c r="U73" s="42">
        <f>U72/U24</f>
        <v>7.9590701801448551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U76" s="39">
        <f>U47/Q47-1</f>
        <v>0.87742726566414997</v>
      </c>
      <c r="AA76" s="39">
        <f>AA47/Z47-1</f>
        <v>0.33605282910121037</v>
      </c>
    </row>
    <row r="77" spans="2:27" s="34" customFormat="1" x14ac:dyDescent="0.2">
      <c r="B77" s="34" t="s">
        <v>147</v>
      </c>
      <c r="Q77" s="41">
        <f>Q47/P47-1</f>
        <v>0.20372479697045898</v>
      </c>
      <c r="U77" s="41">
        <f>U47/T47-1</f>
        <v>0.17446821232641208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2">
      <c r="B79" s="34" t="s">
        <v>6</v>
      </c>
      <c r="P79" s="35">
        <f t="shared" ref="P79:Q79" si="18">P45</f>
        <v>1274.9259999999999</v>
      </c>
      <c r="Q79" s="35">
        <f t="shared" si="18"/>
        <v>1360.1379999999999</v>
      </c>
      <c r="T79" s="35">
        <f t="shared" ref="T79:U79" si="19">T45</f>
        <v>528.029</v>
      </c>
      <c r="U79" s="35">
        <f t="shared" si="19"/>
        <v>552.81100000000004</v>
      </c>
      <c r="Z79" s="35">
        <f t="shared" ref="Z79" si="20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:Q80" si="21">P58+P64</f>
        <v>4734.3250000000007</v>
      </c>
      <c r="Q80" s="35">
        <f t="shared" si="21"/>
        <v>4692.924</v>
      </c>
      <c r="T80" s="35">
        <f t="shared" ref="T80:U80" si="22">T58+T64</f>
        <v>5295.7790000000005</v>
      </c>
      <c r="U80" s="35">
        <f t="shared" si="22"/>
        <v>5218.8459999999995</v>
      </c>
      <c r="Z80" s="35">
        <f t="shared" ref="Z80" si="23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Q81" s="42">
        <f t="shared" ref="Q81" si="24">Q79-Q80</f>
        <v>-3332.7860000000001</v>
      </c>
      <c r="T81" s="42">
        <f>T79-T80</f>
        <v>-4767.75</v>
      </c>
      <c r="U81" s="42">
        <f t="shared" ref="U81" si="25">U79-U80</f>
        <v>-4666.0349999999999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Q83" s="1">
        <v>64.489999999999995</v>
      </c>
      <c r="T83" s="1">
        <v>44.26</v>
      </c>
      <c r="U83" s="1">
        <v>30.75</v>
      </c>
      <c r="Z83" s="1">
        <v>75.94</v>
      </c>
      <c r="AA83" s="1">
        <v>56.63</v>
      </c>
    </row>
    <row r="84" spans="2:27" x14ac:dyDescent="0.2">
      <c r="B84" s="1" t="s">
        <v>5</v>
      </c>
      <c r="P84" s="49">
        <f t="shared" ref="P84:Q84" si="26">P83*P24</f>
        <v>31593.766230000001</v>
      </c>
      <c r="Q84" s="49">
        <f t="shared" si="26"/>
        <v>25265.827709999998</v>
      </c>
      <c r="T84" s="49">
        <f t="shared" ref="T84:U84" si="27">T83*T24</f>
        <v>17153.538379999998</v>
      </c>
      <c r="U84" s="49">
        <f t="shared" si="27"/>
        <v>11921.405999999999</v>
      </c>
      <c r="Z84" s="49">
        <f t="shared" ref="Z84" si="28">Z83*Z24</f>
        <v>29590.400699999998</v>
      </c>
      <c r="AA84" s="49">
        <f>AA83*AA24</f>
        <v>22102.179329999999</v>
      </c>
    </row>
    <row r="85" spans="2:27" x14ac:dyDescent="0.2">
      <c r="B85" s="1" t="s">
        <v>9</v>
      </c>
      <c r="P85" s="49">
        <f>P84-P81</f>
        <v>35053.165229999999</v>
      </c>
      <c r="Q85" s="49">
        <f t="shared" ref="Q85" si="29">Q84-Q81</f>
        <v>28598.613709999998</v>
      </c>
      <c r="T85" s="49">
        <f>T84-T81</f>
        <v>21921.288379999998</v>
      </c>
      <c r="U85" s="49">
        <f t="shared" ref="U85" si="30">U84-U81</f>
        <v>16587.440999999999</v>
      </c>
      <c r="Z85" s="49">
        <f>Z84-Z81</f>
        <v>34494.860699999997</v>
      </c>
      <c r="AA85" s="49">
        <f>AA84-AA81</f>
        <v>25745.959329999998</v>
      </c>
    </row>
    <row r="87" spans="2:27" x14ac:dyDescent="0.2">
      <c r="B87" s="1" t="s">
        <v>85</v>
      </c>
      <c r="P87" s="50">
        <f t="shared" ref="P87:Q87" si="31">P83/P73</f>
        <v>9.6498096321658622</v>
      </c>
      <c r="Q87" s="50">
        <f t="shared" si="31"/>
        <v>7.0201138246449979</v>
      </c>
      <c r="T87" s="50">
        <f t="shared" ref="T87:U87" si="32">T83/T73</f>
        <v>5.1166515127697503</v>
      </c>
      <c r="U87" s="50">
        <f t="shared" si="32"/>
        <v>3.863516629958947</v>
      </c>
      <c r="Z87" s="50">
        <f t="shared" ref="Z87" si="33">Z83/Z73</f>
        <v>9.6822886866655491</v>
      </c>
      <c r="AA87" s="50">
        <f>AA83/AA73</f>
        <v>6.2606234087970929</v>
      </c>
    </row>
    <row r="88" spans="2:27" x14ac:dyDescent="0.2">
      <c r="B88" s="1" t="s">
        <v>154</v>
      </c>
      <c r="T88" s="50"/>
      <c r="Z88" s="50">
        <f t="shared" ref="Z88" si="34">Z84/Z8</f>
        <v>3.2028402714638258</v>
      </c>
      <c r="AA88" s="50">
        <f>AA84/AA8</f>
        <v>1.8664543675792531</v>
      </c>
    </row>
    <row r="89" spans="2:27" x14ac:dyDescent="0.2">
      <c r="B89" s="1" t="s">
        <v>1373</v>
      </c>
      <c r="T89" s="50"/>
      <c r="Z89" s="50">
        <f t="shared" ref="Z89" si="35">Z85/Z8</f>
        <v>3.7336949279127154</v>
      </c>
      <c r="AA89" s="50">
        <f>AA85/AA8</f>
        <v>2.1741592773058152</v>
      </c>
    </row>
    <row r="90" spans="2:27" x14ac:dyDescent="0.2">
      <c r="B90" s="1" t="s">
        <v>83</v>
      </c>
      <c r="T90" s="50"/>
      <c r="Z90" s="50">
        <f t="shared" ref="Z90" si="36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  <hyperlink ref="U1" r:id="rId4" xr:uid="{9531B1A7-B365-4021-B8C5-6A1EC1D04E83}"/>
  </hyperlinks>
  <pageMargins left="0.7" right="0.7" top="0.75" bottom="0.75" header="0.3" footer="0.3"/>
  <pageSetup paperSize="256" orientation="portrait" horizontalDpi="203" verticalDpi="203" r:id="rId5"/>
  <ignoredErrors>
    <ignoredError sqref="O8:P8 S8:U8 Z8:AA8 Y7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ColWidth="9.140625"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2022-10-30T13:26:46Z</dcterms:modified>
</cp:coreProperties>
</file>