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FF71F06-B30C-4524-859C-E30733C6D265}" xr6:coauthVersionLast="36" xr6:coauthVersionMax="47" xr10:uidLastSave="{00000000-0000-0000-0000-000000000000}"/>
  <bookViews>
    <workbookView xWindow="0" yWindow="495" windowWidth="3229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E8" i="1" l="1"/>
  <c r="AG8" i="1" l="1"/>
  <c r="AF15" i="1"/>
  <c r="AG15" i="1" l="1"/>
  <c r="K15" i="1" l="1"/>
  <c r="Q3" i="1" l="1"/>
  <c r="AF8" i="1"/>
  <c r="AG3" i="1"/>
  <c r="AG1" i="1" s="1"/>
  <c r="AB3" i="1" l="1"/>
  <c r="AA3" i="1"/>
  <c r="Z3" i="1"/>
  <c r="Y3" i="1"/>
  <c r="AF3" i="1"/>
  <c r="AF1" i="1" s="1"/>
  <c r="AE3" i="1"/>
  <c r="K3" i="1"/>
  <c r="K13" i="1" l="1"/>
  <c r="AG13" i="1"/>
  <c r="AF13" i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I13" i="1" l="1"/>
  <c r="AJ13" i="1"/>
  <c r="F13" i="1"/>
  <c r="H13" i="1"/>
  <c r="I13" i="1" l="1"/>
  <c r="F12" i="1"/>
  <c r="J11" i="1" l="1"/>
  <c r="AI11" i="1" l="1"/>
  <c r="AJ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I3" i="1"/>
  <c r="AJ3" i="1"/>
  <c r="AB8" i="1" l="1"/>
  <c r="AA8" i="1"/>
  <c r="Z8" i="1"/>
  <c r="Y8" i="1"/>
  <c r="V14" i="1"/>
  <c r="AB14" i="1" l="1"/>
  <c r="AA14" i="1"/>
  <c r="Z14" i="1"/>
  <c r="Y14" i="1"/>
  <c r="AD7" i="1"/>
  <c r="AE14" i="1"/>
  <c r="J14" i="1" l="1"/>
  <c r="AH7" i="1"/>
  <c r="AJ7" i="1"/>
  <c r="AI7" i="1"/>
  <c r="I7" i="1" l="1"/>
  <c r="H7" i="1"/>
  <c r="G7" i="1"/>
  <c r="F7" i="1"/>
  <c r="AE4" i="1"/>
  <c r="Z4" i="1" l="1"/>
  <c r="Y4" i="1"/>
  <c r="AB4" i="1" l="1"/>
  <c r="AJ14" i="1"/>
  <c r="AI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E10" i="1" l="1"/>
  <c r="AJ10" i="1" l="1"/>
  <c r="AH10" i="1"/>
  <c r="AI10" i="1"/>
  <c r="AB10" i="1"/>
  <c r="AA10" i="1"/>
  <c r="Z10" i="1"/>
  <c r="Y10" i="1"/>
  <c r="J10" i="1"/>
  <c r="F10" i="1" l="1"/>
  <c r="L4" i="1" l="1"/>
  <c r="R4" i="1"/>
  <c r="V4" i="1"/>
  <c r="T4" i="1"/>
  <c r="AH4" i="1" l="1"/>
  <c r="AJ4" i="1"/>
  <c r="AI4" i="1"/>
  <c r="J4" i="1"/>
  <c r="I4" i="1"/>
  <c r="H4" i="1"/>
  <c r="G4" i="1"/>
  <c r="F4" i="1"/>
  <c r="AH5" i="1" l="1"/>
  <c r="AJ5" i="1"/>
  <c r="AI5" i="1"/>
  <c r="AJ15" i="1" l="1"/>
  <c r="AI15" i="1"/>
  <c r="AJ8" i="1" l="1"/>
  <c r="AI8" i="1"/>
  <c r="AJ6" i="1" l="1"/>
  <c r="AI6" i="1"/>
  <c r="AH6" i="1"/>
  <c r="AI12" i="1" l="1"/>
  <c r="AJ12" i="1"/>
  <c r="X12" i="1" l="1"/>
  <c r="X8" i="1"/>
  <c r="W8" i="1"/>
  <c r="V8" i="1"/>
  <c r="X5" i="1"/>
  <c r="W5" i="1"/>
  <c r="V5" i="1"/>
  <c r="AE5" i="1" l="1"/>
  <c r="AE12" i="1" l="1"/>
  <c r="AH8" i="1" l="1"/>
  <c r="AH15" i="1" l="1"/>
  <c r="AH12" i="1"/>
  <c r="W12" i="1" l="1"/>
  <c r="V12" i="1"/>
  <c r="H12" i="1" l="1"/>
  <c r="AD12" i="1"/>
  <c r="L12" i="1"/>
  <c r="T12" i="1" l="1"/>
  <c r="AA12" i="1"/>
  <c r="Y12" i="1"/>
  <c r="Z12" i="1"/>
  <c r="AB12" i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9" i="1"/>
  <c r="F28" i="1"/>
  <c r="P10" i="1" s="1"/>
  <c r="J15" i="1"/>
  <c r="F15" i="1"/>
  <c r="G10" i="1" l="1"/>
  <c r="H10" i="1"/>
  <c r="I10" i="1" l="1"/>
  <c r="L10" i="1"/>
  <c r="AE15" i="1" l="1"/>
  <c r="AE1" i="1" s="1"/>
  <c r="U15" i="1"/>
  <c r="T15" i="1" l="1"/>
  <c r="Z15" i="1"/>
  <c r="Z1" i="1" s="1"/>
  <c r="AB15" i="1" l="1"/>
  <c r="AB1" i="1" s="1"/>
  <c r="AA15" i="1" l="1"/>
  <c r="AA1" i="1" s="1"/>
  <c r="N15" i="1"/>
  <c r="R15" i="1" l="1"/>
  <c r="X15" i="1" l="1"/>
  <c r="W15" i="1"/>
  <c r="V15" i="1"/>
  <c r="Y15" i="1"/>
  <c r="Y1" i="1" s="1"/>
  <c r="G15" i="1"/>
  <c r="H15" i="1" l="1"/>
  <c r="O15" i="1" l="1"/>
  <c r="Q15" i="1"/>
  <c r="I15" i="1"/>
  <c r="S15" i="1" l="1"/>
  <c r="P15" i="1"/>
  <c r="L15" i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</calcChain>
</file>

<file path=xl/sharedStrings.xml><?xml version="1.0" encoding="utf-8"?>
<sst xmlns="http://schemas.openxmlformats.org/spreadsheetml/2006/main" count="844" uniqueCount="538">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</sst>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2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93.83</v>
          </cell>
        </row>
        <row r="8">
          <cell r="C8">
            <v>147040.99299999999</v>
          </cell>
        </row>
        <row r="11">
          <cell r="C11">
            <v>2445</v>
          </cell>
        </row>
        <row r="12">
          <cell r="C12">
            <v>144595.99299999999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23.915976347998704</v>
          </cell>
        </row>
        <row r="34">
          <cell r="C34">
            <v>24.48914890009927</v>
          </cell>
        </row>
        <row r="36">
          <cell r="C36">
            <v>9.2934517128049539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15.88</v>
          </cell>
        </row>
        <row r="8">
          <cell r="C8">
            <v>801.09616856000014</v>
          </cell>
        </row>
        <row r="11">
          <cell r="C11">
            <v>164.5</v>
          </cell>
        </row>
        <row r="12">
          <cell r="C12">
            <v>636.59616856000014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728</v>
          </cell>
        </row>
        <row r="27">
          <cell r="C27" t="str">
            <v>Q122</v>
          </cell>
        </row>
        <row r="32">
          <cell r="C32">
            <v>-0.96423583702713767</v>
          </cell>
        </row>
        <row r="33">
          <cell r="C33">
            <v>-50.21450968486225</v>
          </cell>
        </row>
        <row r="35">
          <cell r="C35">
            <v>1.1733497350330941</v>
          </cell>
        </row>
        <row r="37">
          <cell r="C37">
            <v>3.5983436371240685</v>
          </cell>
        </row>
        <row r="38">
          <cell r="C38">
            <v>2.420425719782521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O27">
            <v>0.55310902822720542</v>
          </cell>
        </row>
        <row r="28">
          <cell r="O28">
            <v>-1.1966602769322474E-2</v>
          </cell>
        </row>
        <row r="30">
          <cell r="O30">
            <v>-2.0263004421958795E-2</v>
          </cell>
        </row>
        <row r="31">
          <cell r="O31">
            <v>0.12839781600422653</v>
          </cell>
        </row>
        <row r="41">
          <cell r="O41">
            <v>562.51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1.1299999999999999</v>
          </cell>
        </row>
        <row r="8">
          <cell r="C8">
            <v>92.523351359999978</v>
          </cell>
        </row>
        <row r="11">
          <cell r="C11">
            <v>8.3000000000000007</v>
          </cell>
        </row>
        <row r="12">
          <cell r="C12">
            <v>84.223351359999981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3.7102797955947073</v>
          </cell>
        </row>
        <row r="35">
          <cell r="C35">
            <v>4.0759185621145306</v>
          </cell>
        </row>
        <row r="37">
          <cell r="C37">
            <v>0.89050386294513961</v>
          </cell>
        </row>
        <row r="39">
          <cell r="C39">
            <v>-2.5676413418282564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28.02</v>
          </cell>
        </row>
        <row r="8">
          <cell r="C8">
            <v>10863.017759999999</v>
          </cell>
        </row>
        <row r="11">
          <cell r="C11">
            <v>-4666.0349999999999</v>
          </cell>
        </row>
        <row r="12">
          <cell r="C12">
            <v>15529.052759999999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11.196943949135527</v>
          </cell>
        </row>
        <row r="34">
          <cell r="C34">
            <v>7.8851726402966102</v>
          </cell>
        </row>
        <row r="36">
          <cell r="C36">
            <v>3.5205117389089331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6.48</v>
          </cell>
        </row>
        <row r="8">
          <cell r="C8">
            <v>2970.4320000000002</v>
          </cell>
        </row>
        <row r="11">
          <cell r="C11">
            <v>376.57900000000006</v>
          </cell>
        </row>
        <row r="12">
          <cell r="C12">
            <v>2593.8530000000001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15.153400361038278</v>
          </cell>
        </row>
        <row r="35">
          <cell r="C35">
            <v>17.902221644611082</v>
          </cell>
        </row>
        <row r="37">
          <cell r="C37">
            <v>1.7179676073321593</v>
          </cell>
        </row>
        <row r="41">
          <cell r="C41">
            <v>8.3776757207132064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>
            <v>1.4239238540510346E-2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79">
          <cell r="AA79">
            <v>-9.4382203054999447E-2</v>
          </cell>
        </row>
        <row r="80">
          <cell r="Q80">
            <v>0.15760593361675279</v>
          </cell>
        </row>
        <row r="95">
          <cell r="AA95">
            <v>0.14276675535667846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5.1749999999999998</v>
          </cell>
        </row>
        <row r="8">
          <cell r="C8">
            <v>515.92694489999997</v>
          </cell>
        </row>
        <row r="11">
          <cell r="C11">
            <v>-117.10000000000002</v>
          </cell>
        </row>
        <row r="12">
          <cell r="C12">
            <v>633.02694489999999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0.52410295093457915</v>
          </cell>
        </row>
        <row r="36">
          <cell r="C36">
            <v>-16.750874834415534</v>
          </cell>
        </row>
        <row r="41">
          <cell r="C41">
            <v>4.0138826705607427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I33" sqref="I33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5.75" thickBot="1" x14ac:dyDescent="0.3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5.75" thickBot="1" x14ac:dyDescent="0.3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O39" sqref="O39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J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9" sqref="V9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5" width="9.140625" style="1"/>
    <col min="36" max="36" width="14.7109375" style="1" bestFit="1" customWidth="1"/>
    <col min="37" max="16384" width="9.140625" style="1"/>
  </cols>
  <sheetData>
    <row r="1" spans="1:36" x14ac:dyDescent="0.2">
      <c r="D1" s="1"/>
      <c r="F1" s="93" t="s">
        <v>499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88"/>
      <c r="S1" s="88"/>
      <c r="T1" s="88"/>
      <c r="U1" s="88"/>
      <c r="V1" s="88"/>
      <c r="W1" s="88"/>
      <c r="X1" s="88"/>
      <c r="Y1" s="89">
        <f>AVERAGE(Y3:Y15)</f>
        <v>0.48684562094335121</v>
      </c>
      <c r="Z1" s="89">
        <f>AVERAGE(Z3:Z15)</f>
        <v>4.926848653784497E-2</v>
      </c>
      <c r="AA1" s="89">
        <f>AVERAGE(AA3:AA15)</f>
        <v>3.3967961295369026E-2</v>
      </c>
      <c r="AB1" s="89">
        <f>AVERAGE(AB3:AB15)</f>
        <v>0.14615541162428036</v>
      </c>
      <c r="AC1" s="88"/>
      <c r="AD1" s="90" t="s">
        <v>537</v>
      </c>
      <c r="AE1" s="89">
        <f>AVERAGE(AE3:AE15)</f>
        <v>0.23199575663598668</v>
      </c>
      <c r="AF1" s="89">
        <f>AVERAGE(AF3:AF15)</f>
        <v>3.9231986955234513E-2</v>
      </c>
      <c r="AG1" s="89">
        <f>AVERAGE(AG3:AG15)</f>
        <v>0.22763826675517687</v>
      </c>
    </row>
    <row r="2" spans="1:36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521</v>
      </c>
      <c r="AJ2" s="5" t="s">
        <v>522</v>
      </c>
    </row>
    <row r="3" spans="1:36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83.508700000000005</v>
      </c>
      <c r="G3" s="49">
        <f>[1]Main!$C$8*$E$28</f>
        <v>130866.48376999999</v>
      </c>
      <c r="H3" s="49">
        <f>[1]Main!$C$11*$E$28</f>
        <v>2176.0500000000002</v>
      </c>
      <c r="I3" s="49">
        <f>[1]Main!$C$12*$E$28</f>
        <v>128690.43376999999</v>
      </c>
      <c r="J3" s="4" t="str">
        <f>[1]Main!$C$28</f>
        <v>FQ123</v>
      </c>
      <c r="K3" s="86">
        <f>[1]Main!$D$28</f>
        <v>44833</v>
      </c>
      <c r="L3" s="50">
        <f>[1]Main!$C$33</f>
        <v>23.915976347998704</v>
      </c>
      <c r="O3" s="56">
        <f>'[1]Financial Model'!$AD$21*1000*E28</f>
        <v>5380.9399999999932</v>
      </c>
      <c r="P3" s="56">
        <f>'[1]Financial Model'!$AC$21*1000*E28</f>
        <v>5097.0299999999988</v>
      </c>
      <c r="Q3" s="56">
        <f>'[1]Financial Model'!$AB$21*1000*E28</f>
        <v>2259.71</v>
      </c>
      <c r="R3" s="51">
        <f>[1]Main!$C$34</f>
        <v>24.48914890009927</v>
      </c>
      <c r="S3" s="51">
        <f>[1]Main!$C$38</f>
        <v>37.504159682207103</v>
      </c>
      <c r="T3" s="51">
        <f>[1]Main!$C$36</f>
        <v>9.2934517128049539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[1]Main!$C$26*E28</f>
        <v>8599.18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I3" s="4">
        <f>[1]Main!$C$24</f>
        <v>1964</v>
      </c>
      <c r="AJ3" s="4" t="str">
        <f>[1]Main!$C$23</f>
        <v>Beaverton, OR</v>
      </c>
    </row>
    <row r="4" spans="1:36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24.937799999999999</v>
      </c>
      <c r="G4" s="49">
        <f>[2]Main!$C$8*$E$28</f>
        <v>9668.0858063999985</v>
      </c>
      <c r="H4" s="49">
        <f>[2]Main!$C$11*$E$28</f>
        <v>-4152.7711499999996</v>
      </c>
      <c r="I4" s="49">
        <f>[2]Main!$C$12*$E$28</f>
        <v>13820.856956399999</v>
      </c>
      <c r="J4" s="4" t="str">
        <f>[2]Main!$C$28</f>
        <v>FQ123</v>
      </c>
      <c r="K4" s="86">
        <f>[2]Main!$D$28</f>
        <v>44860</v>
      </c>
      <c r="L4" s="50">
        <f>[2]Main!$C$33</f>
        <v>11.196943949135527</v>
      </c>
      <c r="O4" s="56">
        <f>'[2]Financial Model'!$AA$22*E28</f>
        <v>1234.341889999999</v>
      </c>
      <c r="P4" s="56">
        <f>'[2]Financial Model'!$Z$22*$E$28</f>
        <v>362.98561000000126</v>
      </c>
      <c r="Q4" s="56">
        <f>'[2]Financial Model'!$Y$22*$E$28</f>
        <v>604.70961000000023</v>
      </c>
      <c r="R4" s="51">
        <f>[2]Main!$C$34</f>
        <v>7.8851726402966102</v>
      </c>
      <c r="T4" s="51">
        <f>[2]Main!$C$36</f>
        <v>3.5205117389089331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[2]Main!$C$26*E28</f>
        <v>2083.8415500000001</v>
      </c>
      <c r="AE4" s="53">
        <f>'[2]Financial Model'!$T$76</f>
        <v>0.9241949083593437</v>
      </c>
      <c r="AH4" s="57">
        <f>[2]Main!$C$25</f>
        <v>1297</v>
      </c>
      <c r="AI4" s="4">
        <f>[2]Main!$C$24</f>
        <v>1899</v>
      </c>
      <c r="AJ4" s="4" t="str">
        <f>[2]Main!$C$23</f>
        <v>Denver, US</v>
      </c>
    </row>
    <row r="5" spans="1:36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9.8614553505535145</v>
      </c>
      <c r="S5" s="51">
        <f>[3]Main!$C$38</f>
        <v>23.595786536449214</v>
      </c>
      <c r="T5" s="51">
        <f>[3]Main!$C$36</f>
        <v>6.6149861386138609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4">
        <f>[3]Main!$C$24</f>
        <v>1864</v>
      </c>
      <c r="AJ5" s="4" t="str">
        <f>[3]Main!$C$23</f>
        <v>Leicester, UK</v>
      </c>
    </row>
    <row r="6" spans="1:36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13.208756530668998</v>
      </c>
      <c r="S6" s="52">
        <f>[4]Main!$C$38</f>
        <v>21.698173855148315</v>
      </c>
      <c r="T6" s="52">
        <f>[4]Main!$C$36</f>
        <v>1.9809164028971902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4">
        <f>[4]Main!$C$24</f>
        <v>1981</v>
      </c>
      <c r="AJ6" s="4" t="str">
        <f>[4]Main!$C$23</f>
        <v>Bury, UK</v>
      </c>
    </row>
    <row r="7" spans="1:36" x14ac:dyDescent="0.2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Q7" s="4"/>
      <c r="T7" s="1"/>
      <c r="U7" s="53"/>
      <c r="X7" s="4"/>
      <c r="AD7" s="49">
        <f>[5]Main!$C$26</f>
        <v>0</v>
      </c>
      <c r="AH7" s="4">
        <f>[5]Main!$C$25</f>
        <v>0</v>
      </c>
      <c r="AI7" s="4">
        <f>[5]Main!$C$24</f>
        <v>1982</v>
      </c>
      <c r="AJ7" s="4" t="str">
        <f>[5]Main!$C$23</f>
        <v>Mansfiled, UK</v>
      </c>
    </row>
    <row r="8" spans="1:36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5.7672000000000008</v>
      </c>
      <c r="G8" s="49">
        <f>[6]Main!$C$8*E28</f>
        <v>2643.6844800000003</v>
      </c>
      <c r="H8" s="49">
        <f>[6]Main!$C$11*$E$28</f>
        <v>335.15531000000004</v>
      </c>
      <c r="I8" s="49">
        <f>[6]Main!$C$12*$E$28</f>
        <v>2308.5291700000002</v>
      </c>
      <c r="J8" s="4" t="str">
        <f>[6]Main!$C$29</f>
        <v>FQ123</v>
      </c>
      <c r="L8" s="50">
        <f>[6]Main!$C$34</f>
        <v>15.153400361038278</v>
      </c>
      <c r="O8" s="56">
        <f>'[6]Financial Model'!$AA$20*$E$28</f>
        <v>320.45340000000039</v>
      </c>
      <c r="P8" s="56">
        <f>'[6]Financial Model'!$Z$20*$E$28</f>
        <v>-488.76753000000002</v>
      </c>
      <c r="Q8" s="56">
        <f>'[6]Financial Model'!$Y$20*$E$28</f>
        <v>82.006379999999311</v>
      </c>
      <c r="R8" s="52">
        <f>[6]Main!$C$35</f>
        <v>17.902221644611082</v>
      </c>
      <c r="S8" s="52">
        <f>[6]Main!$C$41</f>
        <v>8.3776757207132064</v>
      </c>
      <c r="T8" s="52">
        <f>[6]Main!$C$37</f>
        <v>1.7179676073321593</v>
      </c>
      <c r="U8" s="53"/>
      <c r="V8" s="53">
        <f>'[6]Financial Model'!$AA$24</f>
        <v>0.27014278380938728</v>
      </c>
      <c r="W8" s="53">
        <f>'[6]Financial Model'!$Z$24</f>
        <v>-0.15045474463142361</v>
      </c>
      <c r="X8" s="53">
        <f>'[6]Financial Model'!$Y$24</f>
        <v>1.4239238540510346E-2</v>
      </c>
      <c r="Y8" s="53">
        <f>'[6]Financial Model'!$Q$30</f>
        <v>0.46713889776340067</v>
      </c>
      <c r="Z8" s="53">
        <f>'[6]Financial Model'!$Q$31</f>
        <v>2.5560817667452114E-2</v>
      </c>
      <c r="AA8" s="53">
        <f>'[6]Financial Model'!$Q$32</f>
        <v>5.6943479778837729E-3</v>
      </c>
      <c r="AB8" s="53">
        <f>'[6]Financial Model'!$Q$33</f>
        <v>0.39734494626677114</v>
      </c>
      <c r="AD8" s="56">
        <f>[6]Main!$C$27*E28</f>
        <v>849.41066000000001</v>
      </c>
      <c r="AE8" s="53">
        <f>'[6]Financial Model'!$AA$79</f>
        <v>-9.4382203054999447E-2</v>
      </c>
      <c r="AF8" s="53">
        <f>'[6]Financial Model'!$Q$80</f>
        <v>0.15760593361675279</v>
      </c>
      <c r="AG8" s="53">
        <f>'[6]Financial Model'!$AA$95</f>
        <v>0.14276675535667846</v>
      </c>
      <c r="AH8" s="57">
        <f>[6]Main!$C$26</f>
        <v>422</v>
      </c>
      <c r="AI8" s="4">
        <f>[6]Main!$C$24</f>
        <v>1996</v>
      </c>
      <c r="AJ8" s="4" t="str">
        <f>[6]Main!$C$23</f>
        <v>Baltimore, US</v>
      </c>
    </row>
    <row r="9" spans="1:36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18.690000000000001</v>
      </c>
      <c r="G9" s="49">
        <f>[7]Main!$C$8*$E$28</f>
        <v>1731.8154</v>
      </c>
      <c r="H9" s="49"/>
      <c r="I9" s="4"/>
      <c r="J9" s="59"/>
      <c r="K9" s="56"/>
      <c r="L9" s="56"/>
      <c r="M9" s="56"/>
      <c r="N9" s="56"/>
      <c r="U9" s="53"/>
      <c r="AD9" s="56"/>
    </row>
    <row r="10" spans="1:36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9.1135999999999999</v>
      </c>
      <c r="G10" s="49">
        <f>[8]Main!$C$8*E28</f>
        <v>1535.2770560000001</v>
      </c>
      <c r="H10" s="49">
        <f>[8]Main!$C$11*$E$28</f>
        <v>-157.53</v>
      </c>
      <c r="I10" s="49">
        <f>[8]Main!$C$12*$E$28</f>
        <v>1692.8070560000001</v>
      </c>
      <c r="J10" s="4" t="str">
        <f>[8]Main!$C$28</f>
        <v>Q122</v>
      </c>
      <c r="L10" s="50">
        <f>[8]Main!$C$33</f>
        <v>59.925343415248761</v>
      </c>
      <c r="O10" s="56">
        <f>'[8]Financial Model'!$Z$16*E28</f>
        <v>373.46713999999986</v>
      </c>
      <c r="P10" s="56">
        <f>'[8]Financial Model'!$Y$16*F28</f>
        <v>-235.21011235955083</v>
      </c>
      <c r="Q10" s="4"/>
      <c r="R10" s="52">
        <f>[8]Main!$C$34</f>
        <v>4.0901579978361697</v>
      </c>
      <c r="T10" s="52">
        <f>[8]Main!$C$36</f>
        <v>1.2473050731522497</v>
      </c>
      <c r="U10" s="53"/>
      <c r="V10" s="53">
        <f>'[8]Financial Model'!$Z$20</f>
        <v>0.33299379683036578</v>
      </c>
      <c r="X10" s="4"/>
      <c r="Y10" s="53">
        <f>'[8]Financial Model'!$O$23</f>
        <v>0.36778425780328089</v>
      </c>
      <c r="Z10" s="53">
        <f>'[8]Financial Model'!$O$24</f>
        <v>3.9716142656608319E-2</v>
      </c>
      <c r="AA10" s="53">
        <f>'[8]Financial Model'!$O$25</f>
        <v>3.0084252969327211E-2</v>
      </c>
      <c r="AB10" s="53">
        <f>'[8]Financial Model'!$O$26</f>
        <v>0.23990612577230669</v>
      </c>
      <c r="AD10" s="56">
        <f>[8]Main!$C$26*E28</f>
        <v>607.06900000000007</v>
      </c>
      <c r="AE10" s="53">
        <f>'[8]Financial Model'!$O$71</f>
        <v>0.4615447248541884</v>
      </c>
      <c r="AH10" s="57">
        <f>[8]Main!$C$25</f>
        <v>1141</v>
      </c>
      <c r="AI10" s="4">
        <f>[8]Main!$C$24</f>
        <v>1977</v>
      </c>
      <c r="AJ10" s="4" t="str">
        <f>[8]Main!$C$23</f>
        <v>Pittsburgh, US</v>
      </c>
    </row>
    <row r="11" spans="1:36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5.1749999999999998</v>
      </c>
      <c r="G11" s="49">
        <f>[9]Main!$C$8</f>
        <v>515.92694489999997</v>
      </c>
      <c r="H11" s="49">
        <f>[9]Main!$C$11</f>
        <v>-117.10000000000002</v>
      </c>
      <c r="I11" s="49">
        <f>[9]Main!$C$12</f>
        <v>633.02694489999999</v>
      </c>
      <c r="J11" s="85" t="str">
        <f>[9]Main!$C$28</f>
        <v>FY22</v>
      </c>
      <c r="K11" s="86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-16.750874834415534</v>
      </c>
      <c r="S11" s="52">
        <f>[9]Main!$C$41</f>
        <v>4.0138826705607427</v>
      </c>
      <c r="T11" s="52">
        <f>[9]Main!$C$33</f>
        <v>0.52410295093457915</v>
      </c>
      <c r="U11" s="87">
        <f>'[9]Financial Model'!$T$19</f>
        <v>6.6487661424370348E-3</v>
      </c>
      <c r="V11" s="87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4">
        <f>[9]Main!$C$24</f>
        <v>2000</v>
      </c>
      <c r="AJ11" s="85" t="str">
        <f>[9]Main!$C$23</f>
        <v>London, UK</v>
      </c>
    </row>
    <row r="12" spans="1:36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14.1332</v>
      </c>
      <c r="G12" s="49">
        <f>[10]Main!$C$8*E28</f>
        <v>712.97559001840011</v>
      </c>
      <c r="H12" s="49">
        <f>[10]Main!$C$11*E28</f>
        <v>146.405</v>
      </c>
      <c r="I12" s="49">
        <f>[10]Main!$C$12*E28</f>
        <v>566.57059001840014</v>
      </c>
      <c r="J12" s="4" t="str">
        <f>[10]Main!$C$27</f>
        <v>Q122</v>
      </c>
      <c r="L12" s="50">
        <f>[10]Main!$C$32</f>
        <v>-0.96423583702713767</v>
      </c>
      <c r="M12" s="50">
        <f>[10]Main!$C$38</f>
        <v>2.420425719782521</v>
      </c>
      <c r="N12" s="50"/>
      <c r="O12" s="56">
        <f>'[10]Financial Model'!$X$18*E28</f>
        <v>234.07889999999975</v>
      </c>
      <c r="P12" s="56">
        <f>'[10]Financial Model'!$W$18*$E$28</f>
        <v>-101.47869000000014</v>
      </c>
      <c r="Q12" s="56">
        <f>'[10]Financial Model'!$V$18*$E$28</f>
        <v>35.028620000000551</v>
      </c>
      <c r="R12" s="52">
        <f>[10]Main!$C$33</f>
        <v>-50.21450968486225</v>
      </c>
      <c r="S12" s="52">
        <f>[10]Main!$C$37</f>
        <v>3.5983436371240685</v>
      </c>
      <c r="T12" s="52">
        <f>[10]Main!$C$35</f>
        <v>1.1733497350330941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Model'!$O$27</f>
        <v>0.55310902822720542</v>
      </c>
      <c r="Z12" s="53">
        <f>'[10]Financial Model'!$O$28</f>
        <v>-1.1966602769322474E-2</v>
      </c>
      <c r="AA12" s="53">
        <f>'[10]Financial Model'!$O$30</f>
        <v>-2.0263004421958795E-2</v>
      </c>
      <c r="AB12" s="53">
        <f>'[10]Financial Model'!$O$31</f>
        <v>0.12839781600422653</v>
      </c>
      <c r="AD12" s="56">
        <f>'[10]Financial Model'!$O$41*E28</f>
        <v>500.63389999999998</v>
      </c>
      <c r="AE12" s="53">
        <f>'[10]Financial Model'!$X$69</f>
        <v>-0.25498478543021663</v>
      </c>
      <c r="AH12" s="57">
        <f>[10]Main!$C$25</f>
        <v>728</v>
      </c>
      <c r="AI12" s="4">
        <f>[10]Main!$C$24</f>
        <v>1892</v>
      </c>
      <c r="AJ12" s="4" t="str">
        <f>[10]Main!$C$23</f>
        <v>Ohio, US</v>
      </c>
    </row>
    <row r="13" spans="1:36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1.1237883419689116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1.4239238540510346E-2</v>
      </c>
      <c r="AI13" s="4">
        <f>[11]Main!$C$24</f>
        <v>2006</v>
      </c>
      <c r="AJ13" s="4" t="str">
        <f>[11]Main!$C$23</f>
        <v>Manchester, UK</v>
      </c>
    </row>
    <row r="14" spans="1:36" x14ac:dyDescent="0.2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Q14" s="4"/>
      <c r="T14" s="1"/>
      <c r="U14" s="53"/>
      <c r="V14" s="53">
        <f>'[12]Financial Model'!$T$23</f>
        <v>0.20588400900900905</v>
      </c>
      <c r="X14" s="4"/>
      <c r="Y14" s="53">
        <f>'[12]Financial Model'!$T$26</f>
        <v>0.55486890948567691</v>
      </c>
      <c r="Z14" s="53">
        <f>'[12]Financial Model'!$T$27</f>
        <v>-8.0487007680993719E-2</v>
      </c>
      <c r="AA14" s="53">
        <f>'[12]Financial Model'!$T$28</f>
        <v>-8.2866014521513875E-2</v>
      </c>
      <c r="AB14" s="53">
        <f>'[12]Financial Model'!$T$29</f>
        <v>0.19258416742493159</v>
      </c>
      <c r="AD14" s="56">
        <f>[12]Main!$C$26</f>
        <v>103.071</v>
      </c>
      <c r="AE14" s="53">
        <f>'[12]Financial Model'!$T$74</f>
        <v>0.17328795191694746</v>
      </c>
      <c r="AG14" s="53">
        <f>'[12]Financial Model'!$T$76</f>
        <v>0.24063455746737328</v>
      </c>
      <c r="AH14" s="4">
        <f>[12]Main!$C$25</f>
        <v>85</v>
      </c>
      <c r="AI14" s="4">
        <f>[12]Main!$C$24</f>
        <v>1987</v>
      </c>
      <c r="AJ14" s="4" t="str">
        <f>[12]Main!$C$23</f>
        <v>London, UK</v>
      </c>
    </row>
    <row r="15" spans="1:36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1.1299999999999999</v>
      </c>
      <c r="G15" s="49">
        <f>[13]Main!$C$8</f>
        <v>92.523351359999978</v>
      </c>
      <c r="H15" s="49">
        <f>[13]Main!$C$11</f>
        <v>8.3000000000000007</v>
      </c>
      <c r="I15" s="49">
        <f>[13]Main!$C$12</f>
        <v>84.223351359999981</v>
      </c>
      <c r="J15" s="4" t="str">
        <f>[13]Main!$C$29</f>
        <v>FY22</v>
      </c>
      <c r="K15" s="86">
        <f>[13]Main!$D$29</f>
        <v>44841</v>
      </c>
      <c r="L15" s="50">
        <f>[13]Main!$C$34</f>
        <v>3.7102797955947073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4.0759185621145306</v>
      </c>
      <c r="S15" s="51">
        <f>[13]Main!$C$39</f>
        <v>-2.5676413418282564</v>
      </c>
      <c r="T15" s="51">
        <f>[13]Main!$C$37</f>
        <v>0.89050386294513961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4">
        <f>[13]Main!$C$25</f>
        <v>1985</v>
      </c>
      <c r="AJ15" s="4" t="str">
        <f>[13]Main!$C$24</f>
        <v>Cheltenham, UK</v>
      </c>
    </row>
    <row r="16" spans="1:36" x14ac:dyDescent="0.2">
      <c r="B16" s="3"/>
      <c r="F16" s="7"/>
      <c r="G16" s="49"/>
      <c r="H16" s="49"/>
      <c r="I16" s="49"/>
      <c r="L16" s="50"/>
      <c r="R16" s="51"/>
      <c r="S16" s="51"/>
      <c r="T16" s="51"/>
      <c r="U16" s="51"/>
      <c r="V16" s="53"/>
      <c r="W16" s="53"/>
      <c r="X16" s="53"/>
      <c r="Y16" s="53"/>
      <c r="Z16" s="53"/>
      <c r="AA16" s="53"/>
      <c r="AB16" s="53"/>
      <c r="AD16" s="55"/>
      <c r="AE16" s="53"/>
      <c r="AH16" s="57"/>
      <c r="AI16" s="4"/>
      <c r="AJ16" s="4"/>
    </row>
    <row r="17" spans="2:14" x14ac:dyDescent="0.2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  <c r="N17" s="5"/>
    </row>
    <row r="18" spans="2:14" x14ac:dyDescent="0.2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  <c r="N18" s="56"/>
    </row>
    <row r="19" spans="2:14" x14ac:dyDescent="0.2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  <c r="N19" s="56"/>
    </row>
    <row r="20" spans="2:14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  <c r="N20" s="56"/>
    </row>
    <row r="21" spans="2:14" x14ac:dyDescent="0.2">
      <c r="G21" s="49"/>
      <c r="H21" s="49"/>
      <c r="I21" s="4"/>
      <c r="J21" s="1"/>
      <c r="K21" s="1"/>
      <c r="L21" s="56"/>
      <c r="M21" s="56"/>
      <c r="N21" s="56"/>
    </row>
    <row r="22" spans="2:14" x14ac:dyDescent="0.2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14" x14ac:dyDescent="0.2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  <c r="N23" s="56"/>
    </row>
    <row r="24" spans="2:14" x14ac:dyDescent="0.2">
      <c r="I24" s="4"/>
      <c r="J24" s="1"/>
      <c r="K24" s="1"/>
      <c r="M24" s="56"/>
      <c r="N24" s="56"/>
    </row>
    <row r="25" spans="2:14" x14ac:dyDescent="0.2">
      <c r="I25" s="4"/>
      <c r="J25" s="1"/>
      <c r="K25" s="1"/>
      <c r="M25" s="56"/>
      <c r="N25" s="56"/>
    </row>
    <row r="26" spans="2:14" x14ac:dyDescent="0.2">
      <c r="I26" s="4"/>
      <c r="J26" s="1"/>
      <c r="K26" s="1"/>
      <c r="M26" s="56"/>
      <c r="N26" s="56"/>
    </row>
    <row r="27" spans="2:14" x14ac:dyDescent="0.2">
      <c r="D27" s="91" t="s">
        <v>495</v>
      </c>
      <c r="E27" s="92"/>
      <c r="F27" s="42" t="s">
        <v>496</v>
      </c>
      <c r="I27" s="4"/>
      <c r="J27" s="1"/>
      <c r="K27" s="1"/>
    </row>
    <row r="28" spans="2:14" x14ac:dyDescent="0.2">
      <c r="D28" s="43" t="s">
        <v>497</v>
      </c>
      <c r="E28" s="44">
        <v>0.89</v>
      </c>
      <c r="F28" s="45">
        <f>1/E28</f>
        <v>1.1235955056179776</v>
      </c>
      <c r="I28" s="4"/>
      <c r="J28" s="1"/>
      <c r="K28" s="1"/>
    </row>
    <row r="29" spans="2:14" x14ac:dyDescent="0.2">
      <c r="D29" s="46" t="s">
        <v>498</v>
      </c>
      <c r="E29" s="48">
        <v>0.88</v>
      </c>
      <c r="F29" s="47">
        <f>1/E29</f>
        <v>1.1363636363636365</v>
      </c>
      <c r="I29" s="4"/>
      <c r="J29" s="1"/>
      <c r="K29" s="1"/>
    </row>
  </sheetData>
  <mergeCells count="2">
    <mergeCell ref="D27:E27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2022-10-30T13:39:14Z</dcterms:modified>
</cp:coreProperties>
</file>