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BA062A0-A977-48A7-BBBE-6CC867C28391}" xr6:coauthVersionLast="36" xr6:coauthVersionMax="47" xr10:uidLastSave="{00000000-0000-0000-0000-000000000000}"/>
  <bookViews>
    <workbookView xWindow="-120" yWindow="-120" windowWidth="29040" windowHeight="15720" xr2:uid="{3483339E-0186-4DD8-B843-20C8BDA2099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7" i="2" l="1"/>
  <c r="A76" i="2"/>
  <c r="A75" i="2"/>
  <c r="A74" i="2"/>
  <c r="A73" i="2"/>
  <c r="V76" i="2"/>
  <c r="U76" i="2"/>
  <c r="T76" i="2"/>
  <c r="S76" i="2"/>
  <c r="V74" i="2"/>
  <c r="U74" i="2"/>
  <c r="T74" i="2"/>
  <c r="S74" i="2"/>
  <c r="V73" i="2"/>
  <c r="U73" i="2"/>
  <c r="T73" i="2"/>
  <c r="S73" i="2"/>
  <c r="V71" i="2"/>
  <c r="V77" i="2" s="1"/>
  <c r="U71" i="2"/>
  <c r="U77" i="2" s="1"/>
  <c r="T71" i="2"/>
  <c r="T77" i="2" s="1"/>
  <c r="S71" i="2"/>
  <c r="S75" i="2" s="1"/>
  <c r="V70" i="2"/>
  <c r="U70" i="2"/>
  <c r="T70" i="2"/>
  <c r="S70" i="2"/>
  <c r="U67" i="2"/>
  <c r="T67" i="2"/>
  <c r="T64" i="2"/>
  <c r="S64" i="2"/>
  <c r="T63" i="2"/>
  <c r="T65" i="2" s="1"/>
  <c r="S63" i="2"/>
  <c r="S65" i="2" s="1"/>
  <c r="T61" i="2"/>
  <c r="S61" i="2"/>
  <c r="T60" i="2"/>
  <c r="S60" i="2"/>
  <c r="T58" i="2"/>
  <c r="S58" i="2"/>
  <c r="T48" i="2"/>
  <c r="T55" i="2" s="1"/>
  <c r="S48" i="2"/>
  <c r="S55" i="2" s="1"/>
  <c r="T40" i="2"/>
  <c r="S40" i="2"/>
  <c r="T33" i="2"/>
  <c r="S33" i="2"/>
  <c r="T13" i="2"/>
  <c r="S13" i="2"/>
  <c r="T10" i="2"/>
  <c r="T12" i="2" s="1"/>
  <c r="T21" i="2" s="1"/>
  <c r="T6" i="2"/>
  <c r="T8" i="2" s="1"/>
  <c r="T20" i="2" s="1"/>
  <c r="S6" i="2"/>
  <c r="S8" i="2" s="1"/>
  <c r="T19" i="2"/>
  <c r="S19" i="2"/>
  <c r="U16" i="2"/>
  <c r="T16" i="2"/>
  <c r="AL25" i="2"/>
  <c r="AL22" i="2"/>
  <c r="S77" i="2" l="1"/>
  <c r="T75" i="2"/>
  <c r="U75" i="2"/>
  <c r="V75" i="2"/>
  <c r="S20" i="2"/>
  <c r="S10" i="2"/>
  <c r="T22" i="2"/>
  <c r="C34" i="1"/>
  <c r="W67" i="2"/>
  <c r="V67" i="2"/>
  <c r="V64" i="2"/>
  <c r="U64" i="2"/>
  <c r="V63" i="2"/>
  <c r="V65" i="2" s="1"/>
  <c r="U63" i="2"/>
  <c r="V61" i="2"/>
  <c r="V60" i="2"/>
  <c r="U33" i="2"/>
  <c r="V33" i="2"/>
  <c r="V40" i="2" s="1"/>
  <c r="Z33" i="2"/>
  <c r="Y33" i="2"/>
  <c r="X33" i="2"/>
  <c r="W33" i="2"/>
  <c r="V48" i="2"/>
  <c r="V55" i="2" s="1"/>
  <c r="V58" i="2" s="1"/>
  <c r="U48" i="2"/>
  <c r="U55" i="2" s="1"/>
  <c r="U58" i="2" s="1"/>
  <c r="U40" i="2"/>
  <c r="U60" i="2" s="1"/>
  <c r="U61" i="2" s="1"/>
  <c r="V20" i="2"/>
  <c r="U20" i="2"/>
  <c r="V19" i="2"/>
  <c r="V6" i="2"/>
  <c r="V8" i="2" s="1"/>
  <c r="V10" i="2" s="1"/>
  <c r="V12" i="2" s="1"/>
  <c r="V13" i="2" s="1"/>
  <c r="U6" i="2"/>
  <c r="U8" i="2" s="1"/>
  <c r="U10" i="2" s="1"/>
  <c r="U12" i="2" s="1"/>
  <c r="U21" i="2" s="1"/>
  <c r="W16" i="2"/>
  <c r="V16" i="2"/>
  <c r="AB22" i="2"/>
  <c r="AC22" i="2" s="1"/>
  <c r="AD22" i="2" s="1"/>
  <c r="AA7" i="2"/>
  <c r="AB7" i="2" s="1"/>
  <c r="AA14" i="2"/>
  <c r="AB14" i="2" s="1"/>
  <c r="AC14" i="2" s="1"/>
  <c r="AD14" i="2" s="1"/>
  <c r="AE14" i="2" s="1"/>
  <c r="AF14" i="2" s="1"/>
  <c r="AG14" i="2" s="1"/>
  <c r="AH14" i="2" s="1"/>
  <c r="AI14" i="2" s="1"/>
  <c r="AA4" i="2"/>
  <c r="AA5" i="2" s="1"/>
  <c r="AA6" i="2" s="1"/>
  <c r="U65" i="2" l="1"/>
  <c r="S12" i="2"/>
  <c r="S21" i="2" s="1"/>
  <c r="S22" i="2"/>
  <c r="V21" i="2"/>
  <c r="U13" i="2"/>
  <c r="U22" i="2"/>
  <c r="AB4" i="2"/>
  <c r="AC4" i="2" s="1"/>
  <c r="AC5" i="2" s="1"/>
  <c r="AC6" i="2" s="1"/>
  <c r="AC8" i="2" s="1"/>
  <c r="V22" i="2"/>
  <c r="U19" i="2"/>
  <c r="AC7" i="2"/>
  <c r="AD7" i="2" s="1"/>
  <c r="AE7" i="2" s="1"/>
  <c r="AF7" i="2" s="1"/>
  <c r="AG7" i="2" s="1"/>
  <c r="AH7" i="2" s="1"/>
  <c r="AI7" i="2" s="1"/>
  <c r="AE22" i="2"/>
  <c r="AA8" i="2"/>
  <c r="AA20" i="2" s="1"/>
  <c r="X74" i="2"/>
  <c r="X67" i="2"/>
  <c r="W64" i="2"/>
  <c r="W63" i="2"/>
  <c r="W65" i="2" s="1"/>
  <c r="W48" i="2"/>
  <c r="W55" i="2" s="1"/>
  <c r="W40" i="2"/>
  <c r="Y67" i="2"/>
  <c r="Z67" i="2"/>
  <c r="X64" i="2"/>
  <c r="X63" i="2"/>
  <c r="X65" i="2" s="1"/>
  <c r="X48" i="2"/>
  <c r="X55" i="2" s="1"/>
  <c r="X58" i="2" s="1"/>
  <c r="X40" i="2"/>
  <c r="X70" i="2"/>
  <c r="W70" i="2"/>
  <c r="W74" i="2" s="1"/>
  <c r="Y70" i="2"/>
  <c r="Y74" i="2" s="1"/>
  <c r="Z70" i="2"/>
  <c r="Z74" i="2" s="1"/>
  <c r="X16" i="2"/>
  <c r="W6" i="2"/>
  <c r="W19" i="2" s="1"/>
  <c r="Y16" i="2"/>
  <c r="X9" i="2"/>
  <c r="X6" i="2"/>
  <c r="X8" i="2" s="1"/>
  <c r="C27" i="1"/>
  <c r="D11" i="1"/>
  <c r="D10" i="1"/>
  <c r="D9" i="1"/>
  <c r="D7" i="1"/>
  <c r="Y64" i="2"/>
  <c r="Y63" i="2"/>
  <c r="Z64" i="2"/>
  <c r="C10" i="1" s="1"/>
  <c r="Z63" i="2"/>
  <c r="Y48" i="2"/>
  <c r="Y55" i="2" s="1"/>
  <c r="Y58" i="2" s="1"/>
  <c r="Z48" i="2"/>
  <c r="Z55" i="2" s="1"/>
  <c r="Y40" i="2"/>
  <c r="Z40" i="2"/>
  <c r="Z16" i="2"/>
  <c r="Y6" i="2"/>
  <c r="Y8" i="2" s="1"/>
  <c r="Z6" i="2"/>
  <c r="Z19" i="2" s="1"/>
  <c r="AD4" i="2" l="1"/>
  <c r="AD5" i="2" s="1"/>
  <c r="AB5" i="2"/>
  <c r="AB6" i="2" s="1"/>
  <c r="AB8" i="2" s="1"/>
  <c r="AB20" i="2" s="1"/>
  <c r="AC20" i="2"/>
  <c r="AA9" i="2"/>
  <c r="AB9" i="2"/>
  <c r="W71" i="2"/>
  <c r="X71" i="2"/>
  <c r="W60" i="2"/>
  <c r="W61" i="2" s="1"/>
  <c r="W73" i="2" s="1"/>
  <c r="AF22" i="2"/>
  <c r="X60" i="2"/>
  <c r="X61" i="2" s="1"/>
  <c r="X73" i="2" s="1"/>
  <c r="W58" i="2"/>
  <c r="X19" i="2"/>
  <c r="Z65" i="2"/>
  <c r="Z71" i="2" s="1"/>
  <c r="X10" i="2"/>
  <c r="X20" i="2"/>
  <c r="Y10" i="2"/>
  <c r="Y20" i="2"/>
  <c r="Z58" i="2"/>
  <c r="Z60" i="2"/>
  <c r="Z61" i="2" s="1"/>
  <c r="C9" i="1"/>
  <c r="C11" i="1" s="1"/>
  <c r="W8" i="2"/>
  <c r="Y60" i="2"/>
  <c r="Y61" i="2" s="1"/>
  <c r="Y73" i="2" s="1"/>
  <c r="Y19" i="2"/>
  <c r="Z8" i="2"/>
  <c r="Y65" i="2"/>
  <c r="Y71" i="2" s="1"/>
  <c r="C8" i="1"/>
  <c r="C35" i="1" s="1"/>
  <c r="AD6" i="2" l="1"/>
  <c r="AD8" i="2" s="1"/>
  <c r="AD20" i="2" s="1"/>
  <c r="AE4" i="2"/>
  <c r="AF4" i="2" s="1"/>
  <c r="Z75" i="2"/>
  <c r="Z73" i="2"/>
  <c r="AC9" i="2"/>
  <c r="Y77" i="2"/>
  <c r="Y75" i="2"/>
  <c r="AA10" i="2"/>
  <c r="AA11" i="2" s="1"/>
  <c r="AA12" i="2" s="1"/>
  <c r="AA13" i="2" s="1"/>
  <c r="X75" i="2"/>
  <c r="W75" i="2"/>
  <c r="AB10" i="2"/>
  <c r="AB11" i="2" s="1"/>
  <c r="AB12" i="2" s="1"/>
  <c r="AG22" i="2"/>
  <c r="Z20" i="2"/>
  <c r="Z10" i="2"/>
  <c r="W10" i="2"/>
  <c r="W20" i="2"/>
  <c r="Y12" i="2"/>
  <c r="Y22" i="2"/>
  <c r="X22" i="2"/>
  <c r="X12" i="2"/>
  <c r="X77" i="2" s="1"/>
  <c r="C12" i="1"/>
  <c r="AE5" i="2" l="1"/>
  <c r="AE6" i="2" s="1"/>
  <c r="AE8" i="2" s="1"/>
  <c r="AE20" i="2"/>
  <c r="AA21" i="2"/>
  <c r="AB21" i="2"/>
  <c r="AB13" i="2"/>
  <c r="AG4" i="2"/>
  <c r="AF5" i="2"/>
  <c r="AF6" i="2" s="1"/>
  <c r="AF8" i="2" s="1"/>
  <c r="AC10" i="2"/>
  <c r="AC11" i="2" s="1"/>
  <c r="AC12" i="2" s="1"/>
  <c r="AD9" i="2"/>
  <c r="AH22" i="2"/>
  <c r="X13" i="2"/>
  <c r="X76" i="2" s="1"/>
  <c r="X21" i="2"/>
  <c r="Y21" i="2"/>
  <c r="Y13" i="2"/>
  <c r="Y76" i="2" s="1"/>
  <c r="W12" i="2"/>
  <c r="W77" i="2" s="1"/>
  <c r="W22" i="2"/>
  <c r="Z12" i="2"/>
  <c r="Z77" i="2" s="1"/>
  <c r="Z22" i="2"/>
  <c r="C36" i="1"/>
  <c r="AF20" i="2" l="1"/>
  <c r="AH4" i="2"/>
  <c r="AG5" i="2"/>
  <c r="AG6" i="2" s="1"/>
  <c r="AG8" i="2" s="1"/>
  <c r="AD10" i="2"/>
  <c r="AD11" i="2" s="1"/>
  <c r="AD12" i="2" s="1"/>
  <c r="AE9" i="2"/>
  <c r="AC21" i="2"/>
  <c r="AC13" i="2"/>
  <c r="AI22" i="2"/>
  <c r="Z21" i="2"/>
  <c r="Z13" i="2"/>
  <c r="W21" i="2"/>
  <c r="W13" i="2"/>
  <c r="W76" i="2" s="1"/>
  <c r="C38" i="1"/>
  <c r="AG20" i="2" l="1"/>
  <c r="AE10" i="2"/>
  <c r="AE11" i="2" s="1"/>
  <c r="AE12" i="2" s="1"/>
  <c r="AF9" i="2"/>
  <c r="AF10" i="2" s="1"/>
  <c r="AF11" i="2" s="1"/>
  <c r="AF12" i="2" s="1"/>
  <c r="AD21" i="2"/>
  <c r="AD13" i="2"/>
  <c r="C37" i="1"/>
  <c r="Z76" i="2"/>
  <c r="AI4" i="2"/>
  <c r="AH5" i="2"/>
  <c r="AH6" i="2" s="1"/>
  <c r="AH8" i="2" s="1"/>
  <c r="AH20" i="2" l="1"/>
  <c r="AF21" i="2"/>
  <c r="AF13" i="2"/>
  <c r="AI5" i="2"/>
  <c r="AI6" i="2" s="1"/>
  <c r="AI8" i="2" s="1"/>
  <c r="AE21" i="2"/>
  <c r="AE13" i="2"/>
  <c r="AG9" i="2"/>
  <c r="AI20" i="2" l="1"/>
  <c r="AG10" i="2"/>
  <c r="AG11" i="2" s="1"/>
  <c r="AG12" i="2" s="1"/>
  <c r="AH9" i="2"/>
  <c r="AH10" i="2" l="1"/>
  <c r="AH11" i="2" s="1"/>
  <c r="AH12" i="2" s="1"/>
  <c r="AI9" i="2"/>
  <c r="AI10" i="2" s="1"/>
  <c r="AI11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AG21" i="2"/>
  <c r="AG13" i="2"/>
  <c r="AL21" i="2" l="1"/>
  <c r="AL23" i="2" s="1"/>
  <c r="AL24" i="2" s="1"/>
  <c r="AI21" i="2"/>
  <c r="AI13" i="2"/>
  <c r="AH21" i="2"/>
  <c r="AH13" i="2"/>
  <c r="AL26" i="2" l="1"/>
</calcChain>
</file>

<file path=xl/sharedStrings.xml><?xml version="1.0" encoding="utf-8"?>
<sst xmlns="http://schemas.openxmlformats.org/spreadsheetml/2006/main" count="228" uniqueCount="120">
  <si>
    <t>£HLF</t>
  </si>
  <si>
    <t>Halfords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</si>
  <si>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</si>
  <si>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</si>
  <si>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</si>
  <si>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</si>
  <si>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</si>
  <si>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</si>
  <si>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</si>
  <si>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</si>
  <si>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</si>
  <si>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</si>
  <si>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</si>
  <si>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IR</t>
  </si>
  <si>
    <t>Profile</t>
  </si>
  <si>
    <t>HQ</t>
  </si>
  <si>
    <t>Founded</t>
  </si>
  <si>
    <t>IPO</t>
  </si>
  <si>
    <t>Inventory</t>
  </si>
  <si>
    <t>Update</t>
  </si>
  <si>
    <t>Valuation Metrics</t>
  </si>
  <si>
    <t>P/B</t>
  </si>
  <si>
    <t>P/S</t>
  </si>
  <si>
    <t>P/E</t>
  </si>
  <si>
    <t>EV/E</t>
  </si>
  <si>
    <t>EV/S</t>
  </si>
  <si>
    <t>Key Events</t>
  </si>
  <si>
    <t>Link</t>
  </si>
  <si>
    <t>Redditch, UK</t>
  </si>
  <si>
    <t>Graham Stapleton</t>
  </si>
  <si>
    <t>Ms. Jo Hartley</t>
  </si>
  <si>
    <t>COO</t>
  </si>
  <si>
    <t>Rob Keates</t>
  </si>
  <si>
    <t>Andy Lynch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</si>
  <si>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</si>
  <si>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</si>
  <si>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</si>
  <si>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</si>
  <si>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</si>
  <si>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</si>
  <si>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</si>
  <si>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</si>
  <si>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</si>
  <si>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</si>
  <si>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</si>
  <si>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</si>
  <si>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H124</t>
  </si>
  <si>
    <t>H224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</si>
  <si>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</si>
  <si>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</si>
  <si>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</si>
  <si>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</si>
  <si>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</si>
  <si>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</si>
  <si>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</si>
  <si>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</si>
  <si>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</si>
  <si>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</si>
  <si>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</si>
  <si>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</si>
  <si>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</si>
  <si>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</si>
  <si>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EPS</t>
  </si>
  <si>
    <t>Net Income</t>
  </si>
  <si>
    <t>Revenue</t>
  </si>
  <si>
    <t>COGS</t>
  </si>
  <si>
    <t>Gross Profit</t>
  </si>
  <si>
    <t>Operating Expenses</t>
  </si>
  <si>
    <t>Operating Income</t>
  </si>
  <si>
    <t>Finance Costs</t>
  </si>
  <si>
    <t>Pretax Income</t>
  </si>
  <si>
    <t>Taxes</t>
  </si>
  <si>
    <t>Revenue Y/Y</t>
  </si>
  <si>
    <t>Revenue H/H</t>
  </si>
  <si>
    <t>Gross Margin</t>
  </si>
  <si>
    <t>Operating Margin</t>
  </si>
  <si>
    <t>Net Margin</t>
  </si>
  <si>
    <t>Tax Rate</t>
  </si>
  <si>
    <t>-</t>
  </si>
  <si>
    <t>Balance Sheet</t>
  </si>
  <si>
    <t>Intangibles</t>
  </si>
  <si>
    <t>PP&amp;E</t>
  </si>
  <si>
    <t>ROU Assets</t>
  </si>
  <si>
    <t>Derivative Financial Instruments</t>
  </si>
  <si>
    <t>Deferred Taxes</t>
  </si>
  <si>
    <t>TNCA</t>
  </si>
  <si>
    <t>Inventories</t>
  </si>
  <si>
    <t>Trade &amp; A/R</t>
  </si>
  <si>
    <t>Assets Held-for-Sale</t>
  </si>
  <si>
    <t>Current Taxes</t>
  </si>
  <si>
    <t>Assets</t>
  </si>
  <si>
    <t>Borrowings</t>
  </si>
  <si>
    <t>Lease Liabilities</t>
  </si>
  <si>
    <t>Trade &amp; A/P</t>
  </si>
  <si>
    <t>Current Tax Liabilities</t>
  </si>
  <si>
    <t>Provisions</t>
  </si>
  <si>
    <t>TCL</t>
  </si>
  <si>
    <t>Liabilities</t>
  </si>
  <si>
    <t>S/E</t>
  </si>
  <si>
    <t>S/E+L</t>
  </si>
  <si>
    <t>Book Value</t>
  </si>
  <si>
    <t>Book Value per Share</t>
  </si>
  <si>
    <t>Inventories Y/Y</t>
  </si>
  <si>
    <t>Share Price</t>
  </si>
  <si>
    <t>ROCE</t>
  </si>
  <si>
    <t>Leading retailer of Car Parts &amp; Bicycles in the United Kingdom</t>
  </si>
  <si>
    <t>June</t>
  </si>
  <si>
    <t>Cashflow Statement</t>
  </si>
  <si>
    <t>FY17</t>
  </si>
  <si>
    <t>(EST.)</t>
  </si>
  <si>
    <t>FY16</t>
  </si>
  <si>
    <t>FY15</t>
  </si>
  <si>
    <t>Investments</t>
  </si>
  <si>
    <t>Maturity Rate</t>
  </si>
  <si>
    <t>Discount Rate</t>
  </si>
  <si>
    <t>NPV</t>
  </si>
  <si>
    <t>Total Value</t>
  </si>
  <si>
    <t>Per Share</t>
  </si>
  <si>
    <t>Current SP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</si>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</sst>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4" fillId="0" borderId="0" xfId="1" applyFont="1" applyAlignment="1">
      <alignment horizontal="right"/>
    </xf>
    <xf numFmtId="164" fontId="2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8" fillId="0" borderId="0" xfId="0" applyFont="1"/>
    <xf numFmtId="0" fontId="1" fillId="5" borderId="0" xfId="0" applyFont="1" applyFill="1"/>
    <xf numFmtId="0" fontId="2" fillId="6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164" fontId="1" fillId="6" borderId="0" xfId="0" applyNumberFormat="1" applyFont="1" applyFill="1"/>
    <xf numFmtId="14" fontId="7" fillId="6" borderId="0" xfId="0" applyNumberFormat="1" applyFont="1" applyFill="1" applyAlignment="1">
      <alignment horizontal="right"/>
    </xf>
    <xf numFmtId="2" fontId="1" fillId="0" borderId="0" xfId="0" applyNumberFormat="1" applyFont="1"/>
    <xf numFmtId="2" fontId="1" fillId="6" borderId="0" xfId="0" applyNumberFormat="1" applyFont="1" applyFill="1"/>
    <xf numFmtId="9" fontId="1" fillId="6" borderId="0" xfId="0" applyNumberFormat="1" applyFont="1" applyFill="1"/>
    <xf numFmtId="165" fontId="1" fillId="0" borderId="0" xfId="0" applyNumberFormat="1" applyFont="1"/>
    <xf numFmtId="165" fontId="1" fillId="6" borderId="0" xfId="0" applyNumberFormat="1" applyFont="1" applyFill="1"/>
    <xf numFmtId="0" fontId="9" fillId="7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164" fontId="9" fillId="7" borderId="0" xfId="0" applyNumberFormat="1" applyFont="1" applyFill="1"/>
    <xf numFmtId="164" fontId="9" fillId="0" borderId="0" xfId="0" applyNumberFormat="1" applyFont="1"/>
    <xf numFmtId="164" fontId="11" fillId="7" borderId="0" xfId="0" applyNumberFormat="1" applyFont="1" applyFill="1"/>
    <xf numFmtId="164" fontId="11" fillId="0" borderId="0" xfId="0" applyNumberFormat="1" applyFont="1"/>
    <xf numFmtId="4" fontId="11" fillId="7" borderId="0" xfId="0" applyNumberFormat="1" applyFont="1" applyFill="1"/>
    <xf numFmtId="0" fontId="11" fillId="0" borderId="0" xfId="0" applyFont="1"/>
    <xf numFmtId="9" fontId="9" fillId="7" borderId="0" xfId="0" applyNumberFormat="1" applyFont="1" applyFill="1"/>
    <xf numFmtId="9" fontId="9" fillId="0" borderId="0" xfId="0" applyNumberFormat="1" applyFont="1"/>
    <xf numFmtId="0" fontId="11" fillId="7" borderId="0" xfId="0" applyFont="1" applyFill="1"/>
    <xf numFmtId="9" fontId="11" fillId="7" borderId="0" xfId="0" applyNumberFormat="1" applyFont="1" applyFill="1"/>
    <xf numFmtId="0" fontId="9" fillId="7" borderId="0" xfId="0" applyFont="1" applyFill="1"/>
    <xf numFmtId="0" fontId="9" fillId="0" borderId="0" xfId="0" applyFont="1"/>
    <xf numFmtId="9" fontId="11" fillId="0" borderId="0" xfId="0" applyNumberFormat="1" applyFont="1"/>
    <xf numFmtId="2" fontId="11" fillId="7" borderId="0" xfId="0" applyNumberFormat="1" applyFont="1" applyFill="1"/>
    <xf numFmtId="2" fontId="11" fillId="0" borderId="0" xfId="0" applyNumberFormat="1" applyFont="1"/>
    <xf numFmtId="165" fontId="11" fillId="7" borderId="0" xfId="0" applyNumberFormat="1" applyFont="1" applyFill="1"/>
    <xf numFmtId="165" fontId="11" fillId="0" borderId="0" xfId="0" applyNumberFormat="1" applyFont="1"/>
    <xf numFmtId="4" fontId="11" fillId="0" borderId="0" xfId="0" applyNumberFormat="1" applyFont="1"/>
    <xf numFmtId="0" fontId="1" fillId="3" borderId="1" xfId="0" applyFont="1" applyFill="1" applyBorder="1"/>
    <xf numFmtId="9" fontId="1" fillId="4" borderId="3" xfId="0" applyNumberFormat="1" applyFont="1" applyFill="1" applyBorder="1"/>
    <xf numFmtId="9" fontId="1" fillId="4" borderId="5" xfId="0" applyNumberFormat="1" applyFont="1" applyFill="1" applyBorder="1"/>
    <xf numFmtId="164" fontId="1" fillId="4" borderId="5" xfId="0" applyNumberFormat="1" applyFont="1" applyFill="1" applyBorder="1"/>
    <xf numFmtId="164" fontId="2" fillId="4" borderId="5" xfId="0" applyNumberFormat="1" applyFont="1" applyFill="1" applyBorder="1"/>
    <xf numFmtId="9" fontId="1" fillId="4" borderId="8" xfId="0" applyNumberFormat="1" applyFont="1" applyFill="1" applyBorder="1"/>
    <xf numFmtId="165" fontId="12" fillId="0" borderId="0" xfId="0" applyNumberFormat="1" applyFont="1"/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" fontId="1" fillId="0" borderId="0" xfId="0" applyNumberFormat="1" applyFont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6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152401</xdr:colOff>
      <xdr:row>0</xdr:row>
      <xdr:rowOff>38100</xdr:rowOff>
    </xdr:from>
    <xdr:to>
      <xdr:col>4</xdr:col>
      <xdr:colOff>323851</xdr:colOff>
      <xdr:row>3</xdr:row>
      <xdr:rowOff>132010</xdr:rowOff>
    </xdr:to>
    <xdr:pic>
      <xdr:nvPicPr>
        <xdr:cNvPr id="5" name="Picture 4" descr="Logos - Halfords Group plc">
          <a:extLst>
            <a:ext uri="{FF2B5EF4-FFF2-40B4-BE49-F238E27FC236}">
              <a16:creationId xmlns:a16="http://schemas.microsoft.com/office/drawing/2014/main" id="{8DE18E02-A2E8-42A6-B93E-AD298B62D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1" y="38100"/>
          <a:ext cx="781050" cy="57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12700</xdr:colOff>
      <xdr:row>0</xdr:row>
      <xdr:rowOff>0</xdr:rowOff>
    </xdr:from>
    <xdr:to>
      <xdr:col>26</xdr:col>
      <xdr:colOff>12700</xdr:colOff>
      <xdr:row>106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8034710-97C6-B91F-069E-CC92839E9429}"/>
            </a:ext>
          </a:extLst>
        </xdr:cNvPr>
        <xdr:cNvCxnSpPr/>
      </xdr:nvCxnSpPr>
      <xdr:spPr>
        <a:xfrm>
          <a:off x="16865600" y="0"/>
          <a:ext cx="0" cy="165481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0</xdr:row>
      <xdr:rowOff>0</xdr:rowOff>
    </xdr:from>
    <xdr:to>
      <xdr:col>13</xdr:col>
      <xdr:colOff>12700</xdr:colOff>
      <xdr:row>106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F4BF802-DCCD-2E46-B85F-DACBC709F492}"/>
            </a:ext>
          </a:extLst>
        </xdr:cNvPr>
        <xdr:cNvCxnSpPr/>
      </xdr:nvCxnSpPr>
      <xdr:spPr>
        <a:xfrm>
          <a:off x="9880600" y="0"/>
          <a:ext cx="0" cy="165481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lfordscompany.com/investor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lfordscompany.com/media/kq5ftogg/halfords-ar2018.pdf" TargetMode="External"/><Relationship Id="rId2" Type="http://schemas.openxmlformats.org/officeDocument/2006/relationships/hyperlink" Target="https://www.halfordscompany.com/media/2727/halfords-annual-report-2020-webready.pdf" TargetMode="External"/><Relationship Id="rId1" Type="http://schemas.openxmlformats.org/officeDocument/2006/relationships/hyperlink" Target="https://www.halfordscompany.com/media/2978/30987-halfords-ar2022_web-ready.pdf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www.halfordscompany.com/media/jyidkf11/prelims-rns-fy16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5AEF-8447-4D06-8D6B-C9C6F674AB9E}">
  <dimension ref="B2:O39"/>
  <sheetViews>
    <sheetView tabSelected="1" workbookViewId="0">
      <selection activeCell="C30" sqref="C30:D30"/>
    </sheetView>
  </sheetViews>
  <sheetFormatPr defaultColWidth="9.140625" defaultRowHeight="12.75" x14ac:dyDescent="0.2"/>
  <cols>
    <col min="1" max="16384" width="9.140625" style="1"/>
  </cols>
  <sheetData>
    <row r="2" spans="2:15" x14ac:dyDescent="0.2">
      <c r="B2" s="2" t="s">
        <v>0</v>
      </c>
      <c r="F2" s="31" t="s">
        <v>105</v>
      </c>
      <c r="G2" s="31"/>
      <c r="H2" s="31"/>
      <c r="I2" s="31"/>
      <c r="J2" s="31"/>
      <c r="K2" s="31"/>
    </row>
    <row r="3" spans="2:15" x14ac:dyDescent="0.2">
      <c r="B3" s="2" t="s">
        <v>1</v>
      </c>
    </row>
    <row r="5" spans="2:15" x14ac:dyDescent="0.2">
      <c r="B5" s="76" t="s">
        <v>2</v>
      </c>
      <c r="C5" s="77"/>
      <c r="D5" s="78"/>
      <c r="G5" s="76" t="s">
        <v>26</v>
      </c>
      <c r="H5" s="77"/>
      <c r="I5" s="77"/>
      <c r="J5" s="77"/>
      <c r="K5" s="77"/>
      <c r="L5" s="77"/>
      <c r="M5" s="77"/>
      <c r="N5" s="77"/>
      <c r="O5" s="78"/>
    </row>
    <row r="6" spans="2:15" x14ac:dyDescent="0.2">
      <c r="B6" s="3" t="s">
        <v>3</v>
      </c>
      <c r="C6" s="1">
        <v>1.829</v>
      </c>
      <c r="D6" s="15"/>
      <c r="G6" s="13"/>
      <c r="H6" s="6"/>
      <c r="I6" s="6"/>
      <c r="J6" s="6"/>
      <c r="K6" s="6"/>
      <c r="L6" s="6"/>
      <c r="M6" s="6"/>
      <c r="N6" s="6"/>
      <c r="O6" s="7"/>
    </row>
    <row r="7" spans="2:15" x14ac:dyDescent="0.2">
      <c r="B7" s="3" t="s">
        <v>4</v>
      </c>
      <c r="C7" s="17">
        <v>205.7</v>
      </c>
      <c r="D7" s="15" t="str">
        <f>C29</f>
        <v>FY22</v>
      </c>
      <c r="G7" s="13"/>
      <c r="H7" s="6"/>
      <c r="I7" s="6"/>
      <c r="J7" s="6"/>
      <c r="K7" s="6"/>
      <c r="L7" s="6"/>
      <c r="M7" s="6"/>
      <c r="N7" s="6"/>
      <c r="O7" s="7"/>
    </row>
    <row r="8" spans="2:15" x14ac:dyDescent="0.2">
      <c r="B8" s="3" t="s">
        <v>5</v>
      </c>
      <c r="C8" s="17">
        <f>C6*C7</f>
        <v>376.22529999999995</v>
      </c>
      <c r="D8" s="15"/>
      <c r="G8" s="13"/>
      <c r="H8" s="6"/>
      <c r="I8" s="6"/>
      <c r="J8" s="6"/>
      <c r="K8" s="6"/>
      <c r="L8" s="6"/>
      <c r="M8" s="6"/>
      <c r="N8" s="6"/>
      <c r="O8" s="7"/>
    </row>
    <row r="9" spans="2:15" x14ac:dyDescent="0.2">
      <c r="B9" s="3" t="s">
        <v>6</v>
      </c>
      <c r="C9" s="17">
        <f>'Financial Model'!Z63</f>
        <v>50.5</v>
      </c>
      <c r="D9" s="15" t="str">
        <f>$C$29</f>
        <v>FY22</v>
      </c>
      <c r="G9" s="13"/>
      <c r="H9" s="6"/>
      <c r="I9" s="6"/>
      <c r="J9" s="6"/>
      <c r="K9" s="6"/>
      <c r="L9" s="6"/>
      <c r="M9" s="6"/>
      <c r="N9" s="6"/>
      <c r="O9" s="7"/>
    </row>
    <row r="10" spans="2:15" x14ac:dyDescent="0.2">
      <c r="B10" s="3" t="s">
        <v>7</v>
      </c>
      <c r="C10" s="17">
        <f>'Financial Model'!Z64</f>
        <v>0.7</v>
      </c>
      <c r="D10" s="15" t="str">
        <f>$C$29</f>
        <v>FY22</v>
      </c>
      <c r="G10" s="13"/>
      <c r="H10" s="6"/>
      <c r="I10" s="6"/>
      <c r="J10" s="6"/>
      <c r="K10" s="6"/>
      <c r="L10" s="6"/>
      <c r="M10" s="6"/>
      <c r="N10" s="6"/>
      <c r="O10" s="7"/>
    </row>
    <row r="11" spans="2:15" x14ac:dyDescent="0.2">
      <c r="B11" s="3" t="s">
        <v>8</v>
      </c>
      <c r="C11" s="17">
        <f>C9-C10</f>
        <v>49.8</v>
      </c>
      <c r="D11" s="15" t="str">
        <f>$C$29</f>
        <v>FY22</v>
      </c>
      <c r="G11" s="13"/>
      <c r="H11" s="6"/>
      <c r="I11" s="6"/>
      <c r="J11" s="6"/>
      <c r="K11" s="6"/>
      <c r="L11" s="6"/>
      <c r="M11" s="6"/>
      <c r="N11" s="6"/>
      <c r="O11" s="7"/>
    </row>
    <row r="12" spans="2:15" x14ac:dyDescent="0.2">
      <c r="B12" s="4" t="s">
        <v>9</v>
      </c>
      <c r="C12" s="18">
        <f>C8-C11</f>
        <v>326.42529999999994</v>
      </c>
      <c r="D12" s="16"/>
      <c r="G12" s="13"/>
      <c r="H12" s="6"/>
      <c r="I12" s="6"/>
      <c r="J12" s="6"/>
      <c r="K12" s="6"/>
      <c r="L12" s="6"/>
      <c r="M12" s="6"/>
      <c r="N12" s="6"/>
      <c r="O12" s="7"/>
    </row>
    <row r="13" spans="2:15" x14ac:dyDescent="0.2">
      <c r="G13" s="13"/>
      <c r="H13" s="6"/>
      <c r="I13" s="6"/>
      <c r="J13" s="6"/>
      <c r="K13" s="6"/>
      <c r="L13" s="6"/>
      <c r="M13" s="6"/>
      <c r="N13" s="6"/>
      <c r="O13" s="7"/>
    </row>
    <row r="14" spans="2:15" x14ac:dyDescent="0.2">
      <c r="G14" s="13"/>
      <c r="H14" s="6"/>
      <c r="I14" s="6"/>
      <c r="J14" s="6"/>
      <c r="K14" s="6"/>
      <c r="L14" s="6"/>
      <c r="M14" s="6"/>
      <c r="N14" s="6"/>
      <c r="O14" s="7"/>
    </row>
    <row r="15" spans="2:15" x14ac:dyDescent="0.2">
      <c r="B15" s="76" t="s">
        <v>10</v>
      </c>
      <c r="C15" s="77"/>
      <c r="D15" s="78"/>
      <c r="G15" s="13"/>
      <c r="H15" s="6"/>
      <c r="I15" s="6"/>
      <c r="J15" s="6"/>
      <c r="K15" s="6"/>
      <c r="L15" s="6"/>
      <c r="M15" s="6"/>
      <c r="N15" s="6"/>
      <c r="O15" s="7"/>
    </row>
    <row r="16" spans="2:15" x14ac:dyDescent="0.2">
      <c r="B16" s="5" t="s">
        <v>11</v>
      </c>
      <c r="C16" s="79" t="s">
        <v>29</v>
      </c>
      <c r="D16" s="80"/>
      <c r="G16" s="13"/>
      <c r="H16" s="6"/>
      <c r="I16" s="6"/>
      <c r="J16" s="6"/>
      <c r="K16" s="6"/>
      <c r="L16" s="6"/>
      <c r="M16" s="6"/>
      <c r="N16" s="6"/>
      <c r="O16" s="7"/>
    </row>
    <row r="17" spans="2:15" x14ac:dyDescent="0.2">
      <c r="B17" s="5" t="s">
        <v>12</v>
      </c>
      <c r="C17" s="79" t="s">
        <v>30</v>
      </c>
      <c r="D17" s="80"/>
      <c r="G17" s="13"/>
      <c r="H17" s="6"/>
      <c r="I17" s="6"/>
      <c r="J17" s="6"/>
      <c r="K17" s="6"/>
      <c r="L17" s="6"/>
      <c r="M17" s="6"/>
      <c r="N17" s="6"/>
      <c r="O17" s="7"/>
    </row>
    <row r="18" spans="2:15" x14ac:dyDescent="0.2">
      <c r="B18" s="5" t="s">
        <v>31</v>
      </c>
      <c r="C18" s="79" t="s">
        <v>32</v>
      </c>
      <c r="D18" s="80"/>
      <c r="G18" s="13"/>
      <c r="H18" s="6"/>
      <c r="I18" s="6"/>
      <c r="J18" s="6"/>
      <c r="K18" s="6"/>
      <c r="L18" s="6"/>
      <c r="M18" s="6"/>
      <c r="N18" s="6"/>
      <c r="O18" s="7"/>
    </row>
    <row r="19" spans="2:15" x14ac:dyDescent="0.2">
      <c r="B19" s="8" t="s">
        <v>13</v>
      </c>
      <c r="C19" s="83" t="s">
        <v>33</v>
      </c>
      <c r="D19" s="84"/>
      <c r="G19" s="14"/>
      <c r="H19" s="9"/>
      <c r="I19" s="9"/>
      <c r="J19" s="9"/>
      <c r="K19" s="9"/>
      <c r="L19" s="9"/>
      <c r="M19" s="9"/>
      <c r="N19" s="9"/>
      <c r="O19" s="10"/>
    </row>
    <row r="22" spans="2:15" x14ac:dyDescent="0.2">
      <c r="B22" s="76" t="s">
        <v>14</v>
      </c>
      <c r="C22" s="77"/>
      <c r="D22" s="78"/>
    </row>
    <row r="23" spans="2:15" x14ac:dyDescent="0.2">
      <c r="B23" s="11" t="s">
        <v>15</v>
      </c>
      <c r="C23" s="86" t="s">
        <v>28</v>
      </c>
      <c r="D23" s="80"/>
    </row>
    <row r="24" spans="2:15" x14ac:dyDescent="0.2">
      <c r="B24" s="11" t="s">
        <v>16</v>
      </c>
      <c r="C24" s="86">
        <v>1892</v>
      </c>
      <c r="D24" s="80"/>
    </row>
    <row r="25" spans="2:15" x14ac:dyDescent="0.2">
      <c r="B25" s="11" t="s">
        <v>17</v>
      </c>
      <c r="C25" s="86">
        <v>2004</v>
      </c>
      <c r="D25" s="80"/>
      <c r="E25" s="1" t="s">
        <v>106</v>
      </c>
    </row>
    <row r="26" spans="2:15" x14ac:dyDescent="0.2">
      <c r="B26" s="11"/>
      <c r="C26" s="86"/>
      <c r="D26" s="80"/>
    </row>
    <row r="27" spans="2:15" x14ac:dyDescent="0.2">
      <c r="B27" s="11" t="s">
        <v>18</v>
      </c>
      <c r="C27" s="86">
        <f>'Financial Model'!Z34</f>
        <v>222.1</v>
      </c>
      <c r="D27" s="80"/>
    </row>
    <row r="28" spans="2:15" x14ac:dyDescent="0.2">
      <c r="B28" s="11"/>
      <c r="C28" s="86"/>
      <c r="D28" s="80"/>
    </row>
    <row r="29" spans="2:15" x14ac:dyDescent="0.2">
      <c r="B29" s="11" t="s">
        <v>19</v>
      </c>
      <c r="C29" s="87" t="s">
        <v>52</v>
      </c>
      <c r="D29" s="88">
        <v>45093</v>
      </c>
      <c r="F29" s="85"/>
    </row>
    <row r="30" spans="2:15" x14ac:dyDescent="0.2">
      <c r="B30" s="12" t="s">
        <v>13</v>
      </c>
      <c r="C30" s="81" t="s">
        <v>27</v>
      </c>
      <c r="D30" s="82"/>
    </row>
    <row r="33" spans="2:5" x14ac:dyDescent="0.2">
      <c r="B33" s="76" t="s">
        <v>20</v>
      </c>
      <c r="C33" s="77"/>
      <c r="D33" s="78"/>
    </row>
    <row r="34" spans="2:5" x14ac:dyDescent="0.2">
      <c r="B34" s="11" t="s">
        <v>21</v>
      </c>
      <c r="C34" s="72">
        <f>C6/'Financial Model'!Z61</f>
        <v>0.68280453720508161</v>
      </c>
      <c r="D34" s="73"/>
      <c r="E34" s="29"/>
    </row>
    <row r="35" spans="2:5" x14ac:dyDescent="0.2">
      <c r="B35" s="11" t="s">
        <v>22</v>
      </c>
      <c r="C35" s="72">
        <f>C8/'Financial Model'!Z4</f>
        <v>0.27469721086448595</v>
      </c>
      <c r="D35" s="73"/>
      <c r="E35" s="29"/>
    </row>
    <row r="36" spans="2:5" x14ac:dyDescent="0.2">
      <c r="B36" s="11" t="s">
        <v>25</v>
      </c>
      <c r="C36" s="72">
        <f>C12/'Financial Model'!Z4</f>
        <v>0.23833622955607472</v>
      </c>
      <c r="D36" s="73"/>
      <c r="E36" s="29"/>
    </row>
    <row r="37" spans="2:5" x14ac:dyDescent="0.2">
      <c r="B37" s="11" t="s">
        <v>23</v>
      </c>
      <c r="C37" s="72">
        <f>C6/'Financial Model'!Z13</f>
        <v>4.8420244530244538</v>
      </c>
      <c r="D37" s="73"/>
      <c r="E37" s="29"/>
    </row>
    <row r="38" spans="2:5" x14ac:dyDescent="0.2">
      <c r="B38" s="11" t="s">
        <v>24</v>
      </c>
      <c r="C38" s="72">
        <f>C12/'Financial Model'!Z12</f>
        <v>4.201097812097812</v>
      </c>
      <c r="D38" s="73"/>
      <c r="E38" s="29"/>
    </row>
    <row r="39" spans="2:5" x14ac:dyDescent="0.2">
      <c r="B39" s="12" t="s">
        <v>104</v>
      </c>
      <c r="C39" s="74"/>
      <c r="D39" s="75"/>
    </row>
  </sheetData>
  <mergeCells count="22">
    <mergeCell ref="C19:D19"/>
    <mergeCell ref="B5:D5"/>
    <mergeCell ref="B15:D15"/>
    <mergeCell ref="C16:D16"/>
    <mergeCell ref="C17:D17"/>
    <mergeCell ref="C18:D18"/>
    <mergeCell ref="C36:D36"/>
    <mergeCell ref="C37:D37"/>
    <mergeCell ref="C38:D38"/>
    <mergeCell ref="C39:D39"/>
    <mergeCell ref="G5:O5"/>
    <mergeCell ref="C28:D28"/>
    <mergeCell ref="C30:D30"/>
    <mergeCell ref="B33:D33"/>
    <mergeCell ref="C34:D34"/>
    <mergeCell ref="C35:D35"/>
    <mergeCell ref="B22:D22"/>
    <mergeCell ref="C23:D23"/>
    <mergeCell ref="C24:D24"/>
    <mergeCell ref="C25:D25"/>
    <mergeCell ref="C26:D26"/>
    <mergeCell ref="C27:D27"/>
  </mergeCells>
  <hyperlinks>
    <hyperlink ref="C30:D30" r:id="rId1" display="Link" xr:uid="{07676FE1-E26A-AE4D-A21B-792EB2B848FD}"/>
  </hyperlinks>
  <pageMargins left="0.7" right="0.7" top="0.75" bottom="0.75" header="0.3" footer="0.3"/>
  <pageSetup paperSize="259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2FD5-5387-455B-8CDC-129D27EFA8D5}">
  <dimension ref="A1:CS8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24" sqref="S24"/>
    </sheetView>
  </sheetViews>
  <sheetFormatPr defaultColWidth="9.140625" defaultRowHeight="12.75" x14ac:dyDescent="0.2"/>
  <cols>
    <col min="1" max="1" width="5" style="1" bestFit="1" customWidth="1"/>
    <col min="2" max="2" width="28.140625" style="1" bestFit="1" customWidth="1"/>
    <col min="3" max="3" width="5.28515625" style="1" bestFit="1" customWidth="1"/>
    <col min="4" max="4" width="9.140625" style="35"/>
    <col min="5" max="5" width="9.140625" style="1"/>
    <col min="6" max="6" width="9.140625" style="35"/>
    <col min="7" max="7" width="9.140625" style="1"/>
    <col min="8" max="8" width="9.140625" style="35"/>
    <col min="9" max="9" width="9.140625" style="1"/>
    <col min="10" max="10" width="9.140625" style="35"/>
    <col min="11" max="11" width="9.140625" style="1"/>
    <col min="12" max="12" width="9.140625" style="35"/>
    <col min="13" max="13" width="9.140625" style="1"/>
    <col min="14" max="14" width="9.140625" style="35"/>
    <col min="15" max="15" width="9.140625" style="1"/>
    <col min="16" max="16" width="9.140625" style="35"/>
    <col min="17" max="26" width="9.140625" style="1"/>
    <col min="27" max="27" width="9.140625" style="55"/>
    <col min="28" max="35" width="9.140625" style="52"/>
    <col min="36" max="36" width="9.140625" style="1"/>
    <col min="37" max="37" width="12.7109375" style="1" bestFit="1" customWidth="1"/>
    <col min="38" max="16384" width="9.140625" style="1"/>
  </cols>
  <sheetData>
    <row r="1" spans="2:97" s="20" customFormat="1" x14ac:dyDescent="0.2">
      <c r="C1" s="20" t="s">
        <v>34</v>
      </c>
      <c r="D1" s="32" t="s">
        <v>35</v>
      </c>
      <c r="E1" s="20" t="s">
        <v>36</v>
      </c>
      <c r="F1" s="32" t="s">
        <v>37</v>
      </c>
      <c r="G1" s="20" t="s">
        <v>38</v>
      </c>
      <c r="H1" s="32" t="s">
        <v>39</v>
      </c>
      <c r="I1" s="20" t="s">
        <v>40</v>
      </c>
      <c r="J1" s="32" t="s">
        <v>41</v>
      </c>
      <c r="K1" s="20" t="s">
        <v>42</v>
      </c>
      <c r="L1" s="32" t="s">
        <v>43</v>
      </c>
      <c r="M1" s="20" t="s">
        <v>44</v>
      </c>
      <c r="N1" s="32" t="s">
        <v>45</v>
      </c>
      <c r="O1" s="20" t="s">
        <v>46</v>
      </c>
      <c r="P1" s="32" t="s">
        <v>47</v>
      </c>
      <c r="S1" s="20" t="s">
        <v>111</v>
      </c>
      <c r="T1" s="25" t="s">
        <v>110</v>
      </c>
      <c r="U1" s="20" t="s">
        <v>108</v>
      </c>
      <c r="V1" s="25" t="s">
        <v>48</v>
      </c>
      <c r="W1" s="20" t="s">
        <v>49</v>
      </c>
      <c r="X1" s="25" t="s">
        <v>50</v>
      </c>
      <c r="Y1" s="20" t="s">
        <v>51</v>
      </c>
      <c r="Z1" s="25" t="s">
        <v>52</v>
      </c>
      <c r="AA1" s="43" t="s">
        <v>53</v>
      </c>
      <c r="AB1" s="44" t="s">
        <v>54</v>
      </c>
      <c r="AC1" s="44" t="s">
        <v>55</v>
      </c>
      <c r="AD1" s="44" t="s">
        <v>56</v>
      </c>
      <c r="AE1" s="44" t="s">
        <v>57</v>
      </c>
      <c r="AF1" s="44" t="s">
        <v>58</v>
      </c>
      <c r="AG1" s="44" t="s">
        <v>59</v>
      </c>
      <c r="AH1" s="44" t="s">
        <v>60</v>
      </c>
      <c r="AI1" s="44" t="s">
        <v>61</v>
      </c>
    </row>
    <row r="2" spans="2:97" s="22" customFormat="1" x14ac:dyDescent="0.2">
      <c r="B2" s="21"/>
      <c r="D2" s="33"/>
      <c r="F2" s="33"/>
      <c r="H2" s="33"/>
      <c r="I2" s="24">
        <v>44106</v>
      </c>
      <c r="J2" s="37">
        <v>44288</v>
      </c>
      <c r="K2" s="24">
        <v>44470</v>
      </c>
      <c r="L2" s="33"/>
      <c r="N2" s="33"/>
      <c r="P2" s="33"/>
      <c r="S2" s="24">
        <v>42097</v>
      </c>
      <c r="T2" s="24">
        <v>42461</v>
      </c>
      <c r="U2" s="24">
        <v>42825</v>
      </c>
      <c r="V2" s="24">
        <v>43189</v>
      </c>
      <c r="W2" s="24">
        <v>43553</v>
      </c>
      <c r="X2" s="24">
        <v>43924</v>
      </c>
      <c r="Y2" s="24">
        <v>44288</v>
      </c>
      <c r="Z2" s="24">
        <v>44652</v>
      </c>
      <c r="AA2" s="45" t="s">
        <v>109</v>
      </c>
      <c r="AB2" s="46"/>
      <c r="AC2" s="46"/>
      <c r="AD2" s="46"/>
      <c r="AE2" s="46"/>
      <c r="AF2" s="46"/>
      <c r="AG2" s="46"/>
      <c r="AH2" s="46"/>
      <c r="AI2" s="46"/>
    </row>
    <row r="3" spans="2:97" s="22" customFormat="1" x14ac:dyDescent="0.2">
      <c r="B3" s="21"/>
      <c r="D3" s="33"/>
      <c r="F3" s="33"/>
      <c r="H3" s="33"/>
      <c r="J3" s="33"/>
      <c r="K3" s="23">
        <v>44510</v>
      </c>
      <c r="L3" s="33"/>
      <c r="M3" s="23">
        <v>44868</v>
      </c>
      <c r="N3" s="33"/>
      <c r="P3" s="33"/>
      <c r="T3" s="23">
        <v>42522</v>
      </c>
      <c r="X3" s="23"/>
      <c r="Z3" s="23">
        <v>44728</v>
      </c>
      <c r="AA3" s="45"/>
      <c r="AB3" s="46"/>
      <c r="AC3" s="46"/>
      <c r="AD3" s="46"/>
      <c r="AE3" s="46"/>
      <c r="AF3" s="46"/>
      <c r="AG3" s="46"/>
      <c r="AH3" s="46"/>
      <c r="AI3" s="46"/>
    </row>
    <row r="4" spans="2:97" s="2" customFormat="1" x14ac:dyDescent="0.2">
      <c r="B4" s="2" t="s">
        <v>64</v>
      </c>
      <c r="D4" s="34"/>
      <c r="F4" s="34"/>
      <c r="H4" s="34"/>
      <c r="J4" s="34"/>
      <c r="L4" s="34"/>
      <c r="N4" s="34"/>
      <c r="P4" s="34"/>
      <c r="S4" s="26">
        <v>1025.4000000000001</v>
      </c>
      <c r="T4" s="26">
        <v>1021.5</v>
      </c>
      <c r="U4" s="26">
        <v>1095</v>
      </c>
      <c r="V4" s="26">
        <v>1135.0999999999999</v>
      </c>
      <c r="W4" s="26">
        <v>1138.5999999999999</v>
      </c>
      <c r="X4" s="26">
        <v>1155.0999999999999</v>
      </c>
      <c r="Y4" s="26">
        <v>1292.3</v>
      </c>
      <c r="Z4" s="26">
        <v>1369.6</v>
      </c>
      <c r="AA4" s="47">
        <f>Z4*(1+AA16)</f>
        <v>1438.08</v>
      </c>
      <c r="AB4" s="48">
        <f>AA4*(1+AB16)</f>
        <v>1509.9839999999999</v>
      </c>
      <c r="AC4" s="48">
        <f t="shared" ref="AC4:AI4" si="0">AB4*(1+AC16)</f>
        <v>1555.28352</v>
      </c>
      <c r="AD4" s="48">
        <f t="shared" si="0"/>
        <v>1586.3891904</v>
      </c>
      <c r="AE4" s="48">
        <f t="shared" si="0"/>
        <v>1618.1169742080001</v>
      </c>
      <c r="AF4" s="48">
        <f t="shared" si="0"/>
        <v>1650.4793136921601</v>
      </c>
      <c r="AG4" s="48">
        <f t="shared" si="0"/>
        <v>1683.4888999660034</v>
      </c>
      <c r="AH4" s="48">
        <f t="shared" si="0"/>
        <v>1717.1586779653235</v>
      </c>
      <c r="AI4" s="48">
        <f t="shared" si="0"/>
        <v>1751.50185152463</v>
      </c>
    </row>
    <row r="5" spans="2:97" x14ac:dyDescent="0.2">
      <c r="B5" s="1" t="s">
        <v>65</v>
      </c>
      <c r="S5" s="17">
        <v>479.1</v>
      </c>
      <c r="T5" s="17">
        <v>478.4</v>
      </c>
      <c r="U5" s="17">
        <v>536.4</v>
      </c>
      <c r="V5" s="17">
        <v>564.9</v>
      </c>
      <c r="W5" s="17">
        <v>559.6</v>
      </c>
      <c r="X5" s="17">
        <v>565.4</v>
      </c>
      <c r="Y5" s="17">
        <v>636</v>
      </c>
      <c r="Z5" s="17">
        <v>647.9</v>
      </c>
      <c r="AA5" s="49">
        <f>AA4*(1-AA19)</f>
        <v>675.8975999999999</v>
      </c>
      <c r="AB5" s="50">
        <f t="shared" ref="AB5:AI5" si="1">AB4*(1-AB19)</f>
        <v>709.69247999999993</v>
      </c>
      <c r="AC5" s="50">
        <f t="shared" si="1"/>
        <v>730.98325439999996</v>
      </c>
      <c r="AD5" s="50">
        <f t="shared" si="1"/>
        <v>745.60291948799988</v>
      </c>
      <c r="AE5" s="50">
        <f t="shared" si="1"/>
        <v>760.51497787775997</v>
      </c>
      <c r="AF5" s="50">
        <f t="shared" si="1"/>
        <v>775.72527743531521</v>
      </c>
      <c r="AG5" s="50">
        <f t="shared" si="1"/>
        <v>791.23978298402153</v>
      </c>
      <c r="AH5" s="50">
        <f t="shared" si="1"/>
        <v>807.06457864370202</v>
      </c>
      <c r="AI5" s="50">
        <f t="shared" si="1"/>
        <v>823.20587021657605</v>
      </c>
    </row>
    <row r="6" spans="2:97" s="2" customFormat="1" x14ac:dyDescent="0.2">
      <c r="B6" s="2" t="s">
        <v>66</v>
      </c>
      <c r="D6" s="34"/>
      <c r="F6" s="34"/>
      <c r="H6" s="34"/>
      <c r="J6" s="34"/>
      <c r="L6" s="34"/>
      <c r="N6" s="34"/>
      <c r="P6" s="34"/>
      <c r="S6" s="26">
        <f t="shared" ref="S6:V6" si="2">S4-S5</f>
        <v>546.30000000000007</v>
      </c>
      <c r="T6" s="26">
        <f t="shared" si="2"/>
        <v>543.1</v>
      </c>
      <c r="U6" s="26">
        <f t="shared" si="2"/>
        <v>558.6</v>
      </c>
      <c r="V6" s="26">
        <f t="shared" si="2"/>
        <v>570.19999999999993</v>
      </c>
      <c r="W6" s="26">
        <f>W4-W5</f>
        <v>578.99999999999989</v>
      </c>
      <c r="X6" s="26">
        <f>X4-X5</f>
        <v>589.69999999999993</v>
      </c>
      <c r="Y6" s="26">
        <f>Y4-Y5</f>
        <v>656.3</v>
      </c>
      <c r="Z6" s="26">
        <f>Z4-Z5</f>
        <v>721.69999999999993</v>
      </c>
      <c r="AA6" s="47">
        <f>AA4-AA5</f>
        <v>762.18240000000003</v>
      </c>
      <c r="AB6" s="26">
        <f t="shared" ref="AB6:AI6" si="3">AB4-AB5</f>
        <v>800.29151999999999</v>
      </c>
      <c r="AC6" s="26">
        <f t="shared" si="3"/>
        <v>824.30026559999999</v>
      </c>
      <c r="AD6" s="26">
        <f t="shared" si="3"/>
        <v>840.78627091200008</v>
      </c>
      <c r="AE6" s="26">
        <f t="shared" si="3"/>
        <v>857.60199633024013</v>
      </c>
      <c r="AF6" s="26">
        <f t="shared" si="3"/>
        <v>874.75403625684487</v>
      </c>
      <c r="AG6" s="26">
        <f t="shared" si="3"/>
        <v>892.24911698198184</v>
      </c>
      <c r="AH6" s="26">
        <f t="shared" si="3"/>
        <v>910.09409932162146</v>
      </c>
      <c r="AI6" s="26">
        <f t="shared" si="3"/>
        <v>928.29598130805391</v>
      </c>
    </row>
    <row r="7" spans="2:97" x14ac:dyDescent="0.2">
      <c r="B7" s="1" t="s">
        <v>67</v>
      </c>
      <c r="S7" s="17">
        <v>459</v>
      </c>
      <c r="T7" s="17">
        <v>460.3</v>
      </c>
      <c r="U7" s="17">
        <v>484.9</v>
      </c>
      <c r="V7" s="17">
        <v>500.4</v>
      </c>
      <c r="W7" s="17">
        <v>524.6</v>
      </c>
      <c r="X7" s="17">
        <v>556.70000000000005</v>
      </c>
      <c r="Y7" s="17">
        <v>576.79999999999995</v>
      </c>
      <c r="Z7" s="17">
        <v>613.79999999999995</v>
      </c>
      <c r="AA7" s="49">
        <f>Z7*1.085</f>
        <v>665.97299999999996</v>
      </c>
      <c r="AB7" s="50">
        <f>AA7*1.06</f>
        <v>705.93137999999999</v>
      </c>
      <c r="AC7" s="50">
        <f t="shared" ref="AC7" si="4">AB7*1.06</f>
        <v>748.28726280000001</v>
      </c>
      <c r="AD7" s="50">
        <f>AC7*1.03</f>
        <v>770.73588068399999</v>
      </c>
      <c r="AE7" s="50">
        <f t="shared" ref="AE7:AI7" si="5">AD7*1.03</f>
        <v>793.85795710451998</v>
      </c>
      <c r="AF7" s="50">
        <f t="shared" si="5"/>
        <v>817.67369581765558</v>
      </c>
      <c r="AG7" s="50">
        <f t="shared" si="5"/>
        <v>842.20390669218523</v>
      </c>
      <c r="AH7" s="50">
        <f t="shared" si="5"/>
        <v>867.47002389295085</v>
      </c>
      <c r="AI7" s="50">
        <f t="shared" si="5"/>
        <v>893.4941246097394</v>
      </c>
    </row>
    <row r="8" spans="2:97" s="2" customFormat="1" x14ac:dyDescent="0.2">
      <c r="B8" s="2" t="s">
        <v>68</v>
      </c>
      <c r="D8" s="34"/>
      <c r="F8" s="34"/>
      <c r="H8" s="34"/>
      <c r="J8" s="34"/>
      <c r="L8" s="34"/>
      <c r="N8" s="34"/>
      <c r="P8" s="34"/>
      <c r="S8" s="26">
        <f t="shared" ref="S8:V8" si="6">S6-S7</f>
        <v>87.300000000000068</v>
      </c>
      <c r="T8" s="26">
        <f t="shared" si="6"/>
        <v>82.800000000000011</v>
      </c>
      <c r="U8" s="26">
        <f t="shared" si="6"/>
        <v>73.700000000000045</v>
      </c>
      <c r="V8" s="26">
        <f t="shared" si="6"/>
        <v>69.799999999999955</v>
      </c>
      <c r="W8" s="26">
        <f>W6-W7</f>
        <v>54.399999999999864</v>
      </c>
      <c r="X8" s="26">
        <f>X6-X7</f>
        <v>32.999999999999886</v>
      </c>
      <c r="Y8" s="26">
        <f>Y6-Y7</f>
        <v>79.5</v>
      </c>
      <c r="Z8" s="26">
        <f>Z6-Z7</f>
        <v>107.89999999999998</v>
      </c>
      <c r="AA8" s="47">
        <f>AA6-AA7</f>
        <v>96.209400000000073</v>
      </c>
      <c r="AB8" s="26">
        <f t="shared" ref="AB8:AI8" si="7">AB6-AB7</f>
        <v>94.360140000000001</v>
      </c>
      <c r="AC8" s="26">
        <f t="shared" si="7"/>
        <v>76.013002799999981</v>
      </c>
      <c r="AD8" s="26">
        <f t="shared" si="7"/>
        <v>70.050390228000083</v>
      </c>
      <c r="AE8" s="26">
        <f t="shared" si="7"/>
        <v>63.744039225720144</v>
      </c>
      <c r="AF8" s="26">
        <f t="shared" si="7"/>
        <v>57.080340439189285</v>
      </c>
      <c r="AG8" s="26">
        <f t="shared" si="7"/>
        <v>50.045210289796614</v>
      </c>
      <c r="AH8" s="26">
        <f t="shared" si="7"/>
        <v>42.624075428670608</v>
      </c>
      <c r="AI8" s="26">
        <f t="shared" si="7"/>
        <v>34.801856698314509</v>
      </c>
    </row>
    <row r="9" spans="2:97" x14ac:dyDescent="0.2">
      <c r="B9" s="1" t="s">
        <v>69</v>
      </c>
      <c r="S9" s="17">
        <v>3.5</v>
      </c>
      <c r="T9" s="17">
        <v>3</v>
      </c>
      <c r="U9" s="17">
        <v>2.2999999999999998</v>
      </c>
      <c r="V9" s="17">
        <v>2.7</v>
      </c>
      <c r="W9" s="17">
        <v>3.4</v>
      </c>
      <c r="X9" s="17">
        <f>13.9-0.3</f>
        <v>13.6</v>
      </c>
      <c r="Y9" s="17">
        <v>15</v>
      </c>
      <c r="Z9" s="17">
        <v>11.3</v>
      </c>
      <c r="AA9" s="49">
        <f>AVERAGE(X9:Z9)</f>
        <v>13.300000000000002</v>
      </c>
      <c r="AB9" s="50">
        <f>AVERAGE(X9:AA9)</f>
        <v>13.300000000000002</v>
      </c>
      <c r="AC9" s="50">
        <f t="shared" ref="AC9:AI9" si="8">AVERAGE(Y9:AB9)</f>
        <v>13.225000000000001</v>
      </c>
      <c r="AD9" s="50">
        <f t="shared" si="8"/>
        <v>12.781250000000002</v>
      </c>
      <c r="AE9" s="50">
        <f t="shared" si="8"/>
        <v>13.151562500000001</v>
      </c>
      <c r="AF9" s="50">
        <f t="shared" si="8"/>
        <v>13.114453125000001</v>
      </c>
      <c r="AG9" s="50">
        <f t="shared" si="8"/>
        <v>13.068066406250001</v>
      </c>
      <c r="AH9" s="50">
        <f t="shared" si="8"/>
        <v>13.028833007812501</v>
      </c>
      <c r="AI9" s="50">
        <f t="shared" si="8"/>
        <v>13.090728759765627</v>
      </c>
    </row>
    <row r="10" spans="2:97" x14ac:dyDescent="0.2">
      <c r="B10" s="1" t="s">
        <v>70</v>
      </c>
      <c r="S10" s="17">
        <f t="shared" ref="S10:V10" si="9">S8-S9</f>
        <v>83.800000000000068</v>
      </c>
      <c r="T10" s="17">
        <f t="shared" si="9"/>
        <v>79.800000000000011</v>
      </c>
      <c r="U10" s="17">
        <f t="shared" si="9"/>
        <v>71.400000000000048</v>
      </c>
      <c r="V10" s="17">
        <f t="shared" si="9"/>
        <v>67.099999999999952</v>
      </c>
      <c r="W10" s="17">
        <f>W8-W9</f>
        <v>50.999999999999865</v>
      </c>
      <c r="X10" s="17">
        <f>X8-X9</f>
        <v>19.399999999999885</v>
      </c>
      <c r="Y10" s="17">
        <f>Y8-Y9</f>
        <v>64.5</v>
      </c>
      <c r="Z10" s="17">
        <f>Z8-Z9</f>
        <v>96.59999999999998</v>
      </c>
      <c r="AA10" s="49">
        <f>AA8-AA9</f>
        <v>82.909400000000076</v>
      </c>
      <c r="AB10" s="17">
        <f t="shared" ref="AB10:AI10" si="10">AB8-AB9</f>
        <v>81.060140000000004</v>
      </c>
      <c r="AC10" s="17">
        <f t="shared" si="10"/>
        <v>62.78800279999998</v>
      </c>
      <c r="AD10" s="17">
        <f t="shared" si="10"/>
        <v>57.269140228000083</v>
      </c>
      <c r="AE10" s="17">
        <f t="shared" si="10"/>
        <v>50.592476725720147</v>
      </c>
      <c r="AF10" s="17">
        <f t="shared" si="10"/>
        <v>43.965887314189288</v>
      </c>
      <c r="AG10" s="17">
        <f t="shared" si="10"/>
        <v>36.977143883546617</v>
      </c>
      <c r="AH10" s="17">
        <f t="shared" si="10"/>
        <v>29.595242420858106</v>
      </c>
      <c r="AI10" s="17">
        <f t="shared" si="10"/>
        <v>21.711127938548884</v>
      </c>
    </row>
    <row r="11" spans="2:97" x14ac:dyDescent="0.2">
      <c r="B11" s="1" t="s">
        <v>71</v>
      </c>
      <c r="S11" s="17">
        <v>18</v>
      </c>
      <c r="T11" s="17">
        <v>16.3</v>
      </c>
      <c r="U11" s="17">
        <v>15</v>
      </c>
      <c r="V11" s="17">
        <v>12.4</v>
      </c>
      <c r="W11" s="17">
        <v>9.1</v>
      </c>
      <c r="X11" s="17">
        <v>1.9</v>
      </c>
      <c r="Y11" s="17">
        <v>11.3</v>
      </c>
      <c r="Z11" s="17">
        <v>18.899999999999999</v>
      </c>
      <c r="AA11" s="49">
        <f>AA10*AA22</f>
        <v>16.581880000000016</v>
      </c>
      <c r="AB11" s="50">
        <f t="shared" ref="AB11:AI11" si="11">AB10*AB22</f>
        <v>16.212028</v>
      </c>
      <c r="AC11" s="50">
        <f t="shared" si="11"/>
        <v>12.557600559999997</v>
      </c>
      <c r="AD11" s="50">
        <f t="shared" si="11"/>
        <v>11.453828045600018</v>
      </c>
      <c r="AE11" s="50">
        <f t="shared" si="11"/>
        <v>10.11849534514403</v>
      </c>
      <c r="AF11" s="50">
        <f t="shared" si="11"/>
        <v>8.7931774628378587</v>
      </c>
      <c r="AG11" s="50">
        <f t="shared" si="11"/>
        <v>7.3954287767093234</v>
      </c>
      <c r="AH11" s="50">
        <f t="shared" si="11"/>
        <v>5.919048484171622</v>
      </c>
      <c r="AI11" s="50">
        <f t="shared" si="11"/>
        <v>4.3422255877097768</v>
      </c>
    </row>
    <row r="12" spans="2:97" s="2" customFormat="1" x14ac:dyDescent="0.2">
      <c r="B12" s="2" t="s">
        <v>63</v>
      </c>
      <c r="D12" s="34"/>
      <c r="F12" s="34"/>
      <c r="H12" s="34"/>
      <c r="J12" s="34"/>
      <c r="L12" s="34"/>
      <c r="N12" s="34"/>
      <c r="P12" s="34"/>
      <c r="S12" s="26">
        <f t="shared" ref="S12:V12" si="12">S10-S11</f>
        <v>65.800000000000068</v>
      </c>
      <c r="T12" s="26">
        <f t="shared" si="12"/>
        <v>63.500000000000014</v>
      </c>
      <c r="U12" s="26">
        <f t="shared" si="12"/>
        <v>56.400000000000048</v>
      </c>
      <c r="V12" s="26">
        <f t="shared" si="12"/>
        <v>54.699999999999953</v>
      </c>
      <c r="W12" s="26">
        <f>W10-W11</f>
        <v>41.899999999999864</v>
      </c>
      <c r="X12" s="26">
        <f>X10-X11</f>
        <v>17.499999999999886</v>
      </c>
      <c r="Y12" s="26">
        <f>Y10-Y11</f>
        <v>53.2</v>
      </c>
      <c r="Z12" s="26">
        <f>Z10-Z11</f>
        <v>77.699999999999989</v>
      </c>
      <c r="AA12" s="47">
        <f>AA10-AA11</f>
        <v>66.327520000000064</v>
      </c>
      <c r="AB12" s="26">
        <f t="shared" ref="AB12:AI12" si="13">AB10-AB11</f>
        <v>64.848112</v>
      </c>
      <c r="AC12" s="26">
        <f t="shared" si="13"/>
        <v>50.230402239999982</v>
      </c>
      <c r="AD12" s="26">
        <f t="shared" si="13"/>
        <v>45.815312182400064</v>
      </c>
      <c r="AE12" s="26">
        <f t="shared" si="13"/>
        <v>40.47398138057612</v>
      </c>
      <c r="AF12" s="26">
        <f t="shared" si="13"/>
        <v>35.172709851351428</v>
      </c>
      <c r="AG12" s="26">
        <f t="shared" si="13"/>
        <v>29.581715106837294</v>
      </c>
      <c r="AH12" s="26">
        <f t="shared" si="13"/>
        <v>23.676193936686484</v>
      </c>
      <c r="AI12" s="26">
        <f t="shared" si="13"/>
        <v>17.368902350839107</v>
      </c>
      <c r="AJ12" s="26">
        <f>AI12*(1+$AL$19)</f>
        <v>17.542591374347499</v>
      </c>
      <c r="AK12" s="26">
        <f t="shared" ref="AK12:CS12" si="14">AJ12*(1+$AL$19)</f>
        <v>17.718017288090973</v>
      </c>
      <c r="AL12" s="26">
        <f t="shared" si="14"/>
        <v>17.895197460971882</v>
      </c>
      <c r="AM12" s="26">
        <f t="shared" si="14"/>
        <v>18.074149435581603</v>
      </c>
      <c r="AN12" s="26">
        <f t="shared" si="14"/>
        <v>18.254890929937421</v>
      </c>
      <c r="AO12" s="26">
        <f t="shared" si="14"/>
        <v>18.437439839236795</v>
      </c>
      <c r="AP12" s="26">
        <f t="shared" si="14"/>
        <v>18.621814237629163</v>
      </c>
      <c r="AQ12" s="26">
        <f t="shared" si="14"/>
        <v>18.808032380005454</v>
      </c>
      <c r="AR12" s="26">
        <f t="shared" si="14"/>
        <v>18.996112703805508</v>
      </c>
      <c r="AS12" s="26">
        <f t="shared" si="14"/>
        <v>19.186073830843565</v>
      </c>
      <c r="AT12" s="26">
        <f t="shared" si="14"/>
        <v>19.377934569152</v>
      </c>
      <c r="AU12" s="26">
        <f t="shared" si="14"/>
        <v>19.571713914843521</v>
      </c>
      <c r="AV12" s="26">
        <f t="shared" si="14"/>
        <v>19.767431053991956</v>
      </c>
      <c r="AW12" s="26">
        <f t="shared" si="14"/>
        <v>19.965105364531876</v>
      </c>
      <c r="AX12" s="26">
        <f t="shared" si="14"/>
        <v>20.164756418177195</v>
      </c>
      <c r="AY12" s="26">
        <f t="shared" si="14"/>
        <v>20.366403982358968</v>
      </c>
      <c r="AZ12" s="26">
        <f t="shared" si="14"/>
        <v>20.570068022182557</v>
      </c>
      <c r="BA12" s="26">
        <f t="shared" si="14"/>
        <v>20.775768702404385</v>
      </c>
      <c r="BB12" s="26">
        <f t="shared" si="14"/>
        <v>20.98352638942843</v>
      </c>
      <c r="BC12" s="26">
        <f t="shared" si="14"/>
        <v>21.193361653322714</v>
      </c>
      <c r="BD12" s="26">
        <f t="shared" si="14"/>
        <v>21.405295269855941</v>
      </c>
      <c r="BE12" s="26">
        <f t="shared" si="14"/>
        <v>21.6193482225545</v>
      </c>
      <c r="BF12" s="26">
        <f t="shared" si="14"/>
        <v>21.835541704780045</v>
      </c>
      <c r="BG12" s="26">
        <f t="shared" si="14"/>
        <v>22.053897121827845</v>
      </c>
      <c r="BH12" s="26">
        <f t="shared" si="14"/>
        <v>22.274436093046123</v>
      </c>
      <c r="BI12" s="26">
        <f t="shared" si="14"/>
        <v>22.497180453976586</v>
      </c>
      <c r="BJ12" s="26">
        <f t="shared" si="14"/>
        <v>22.722152258516353</v>
      </c>
      <c r="BK12" s="26">
        <f t="shared" si="14"/>
        <v>22.949373781101517</v>
      </c>
      <c r="BL12" s="26">
        <f t="shared" si="14"/>
        <v>23.178867518912533</v>
      </c>
      <c r="BM12" s="26">
        <f t="shared" si="14"/>
        <v>23.410656194101659</v>
      </c>
      <c r="BN12" s="26">
        <f t="shared" si="14"/>
        <v>23.644762756042674</v>
      </c>
      <c r="BO12" s="26">
        <f t="shared" si="14"/>
        <v>23.881210383603101</v>
      </c>
      <c r="BP12" s="26">
        <f t="shared" si="14"/>
        <v>24.120022487439133</v>
      </c>
      <c r="BQ12" s="26">
        <f t="shared" si="14"/>
        <v>24.361222712313523</v>
      </c>
      <c r="BR12" s="26">
        <f t="shared" si="14"/>
        <v>24.60483493943666</v>
      </c>
      <c r="BS12" s="26">
        <f t="shared" si="14"/>
        <v>24.850883288831028</v>
      </c>
      <c r="BT12" s="26">
        <f t="shared" si="14"/>
        <v>25.09939212171934</v>
      </c>
      <c r="BU12" s="26">
        <f t="shared" si="14"/>
        <v>25.350386042936535</v>
      </c>
      <c r="BV12" s="26">
        <f t="shared" si="14"/>
        <v>25.6038899033659</v>
      </c>
      <c r="BW12" s="26">
        <f t="shared" si="14"/>
        <v>25.859928802399558</v>
      </c>
      <c r="BX12" s="26">
        <f t="shared" si="14"/>
        <v>26.118528090423553</v>
      </c>
      <c r="BY12" s="26">
        <f t="shared" si="14"/>
        <v>26.379713371327789</v>
      </c>
      <c r="BZ12" s="26">
        <f t="shared" si="14"/>
        <v>26.643510505041068</v>
      </c>
      <c r="CA12" s="26">
        <f t="shared" si="14"/>
        <v>26.90994561009148</v>
      </c>
      <c r="CB12" s="26">
        <f t="shared" si="14"/>
        <v>27.179045066192394</v>
      </c>
      <c r="CC12" s="26">
        <f t="shared" si="14"/>
        <v>27.450835516854319</v>
      </c>
      <c r="CD12" s="26">
        <f t="shared" si="14"/>
        <v>27.725343872022862</v>
      </c>
      <c r="CE12" s="26">
        <f t="shared" si="14"/>
        <v>28.002597310743091</v>
      </c>
      <c r="CF12" s="26">
        <f t="shared" si="14"/>
        <v>28.282623283850523</v>
      </c>
      <c r="CG12" s="26">
        <f t="shared" si="14"/>
        <v>28.565449516689029</v>
      </c>
      <c r="CH12" s="26">
        <f t="shared" si="14"/>
        <v>28.85110401185592</v>
      </c>
      <c r="CI12" s="26">
        <f t="shared" si="14"/>
        <v>29.139615051974481</v>
      </c>
      <c r="CJ12" s="26">
        <f t="shared" si="14"/>
        <v>29.431011202494226</v>
      </c>
      <c r="CK12" s="26">
        <f t="shared" si="14"/>
        <v>29.725321314519167</v>
      </c>
      <c r="CL12" s="26">
        <f t="shared" si="14"/>
        <v>30.022574527664361</v>
      </c>
      <c r="CM12" s="26">
        <f t="shared" si="14"/>
        <v>30.322800272941006</v>
      </c>
      <c r="CN12" s="26">
        <f t="shared" si="14"/>
        <v>30.626028275670418</v>
      </c>
      <c r="CO12" s="26">
        <f t="shared" si="14"/>
        <v>30.932288558427121</v>
      </c>
      <c r="CP12" s="26">
        <f t="shared" si="14"/>
        <v>31.241611444011394</v>
      </c>
      <c r="CQ12" s="26">
        <f t="shared" si="14"/>
        <v>31.554027558451509</v>
      </c>
      <c r="CR12" s="26">
        <f t="shared" si="14"/>
        <v>31.869567834036022</v>
      </c>
      <c r="CS12" s="26">
        <f t="shared" si="14"/>
        <v>32.188263512376381</v>
      </c>
    </row>
    <row r="13" spans="2:97" x14ac:dyDescent="0.2">
      <c r="B13" s="1" t="s">
        <v>62</v>
      </c>
      <c r="S13" s="27">
        <f t="shared" ref="S13:U13" si="15">S12/S14</f>
        <v>0.33333333333333365</v>
      </c>
      <c r="T13" s="27">
        <f t="shared" si="15"/>
        <v>0.32348446255731028</v>
      </c>
      <c r="U13" s="27">
        <f t="shared" si="15"/>
        <v>0.28614916286149189</v>
      </c>
      <c r="V13" s="27">
        <f t="shared" ref="V13" si="16">V12/V14</f>
        <v>0.2754279959718024</v>
      </c>
      <c r="W13" s="27">
        <f t="shared" ref="W13:AB13" si="17">W12/W14</f>
        <v>0.21044701155198325</v>
      </c>
      <c r="X13" s="27">
        <f t="shared" si="17"/>
        <v>8.7895529884479587E-2</v>
      </c>
      <c r="Y13" s="27">
        <f t="shared" si="17"/>
        <v>0.26720241084881974</v>
      </c>
      <c r="Z13" s="27">
        <f t="shared" si="17"/>
        <v>0.37773456490034024</v>
      </c>
      <c r="AA13" s="51">
        <f t="shared" si="17"/>
        <v>0.32244783665532362</v>
      </c>
      <c r="AB13" s="64">
        <f t="shared" si="17"/>
        <v>0.31525577053962084</v>
      </c>
      <c r="AC13" s="64">
        <f t="shared" ref="AC13:AI13" si="18">AC12/AC14</f>
        <v>0.244192524258629</v>
      </c>
      <c r="AD13" s="64">
        <f t="shared" si="18"/>
        <v>0.22272879038599935</v>
      </c>
      <c r="AE13" s="64">
        <f t="shared" si="18"/>
        <v>0.19676218464062287</v>
      </c>
      <c r="AF13" s="64">
        <f t="shared" si="18"/>
        <v>0.1709903249944163</v>
      </c>
      <c r="AG13" s="64">
        <f t="shared" si="18"/>
        <v>0.1438099907964866</v>
      </c>
      <c r="AH13" s="64">
        <f t="shared" si="18"/>
        <v>0.11510060251184485</v>
      </c>
      <c r="AI13" s="64">
        <f t="shared" si="18"/>
        <v>8.4438027957409373E-2</v>
      </c>
    </row>
    <row r="14" spans="2:97" x14ac:dyDescent="0.2">
      <c r="B14" s="1" t="s">
        <v>4</v>
      </c>
      <c r="S14" s="1">
        <v>197.4</v>
      </c>
      <c r="T14" s="1">
        <v>196.3</v>
      </c>
      <c r="U14" s="1">
        <v>197.1</v>
      </c>
      <c r="V14" s="1">
        <v>198.6</v>
      </c>
      <c r="W14" s="1">
        <v>199.1</v>
      </c>
      <c r="X14" s="1">
        <v>199.1</v>
      </c>
      <c r="Y14" s="1">
        <v>199.1</v>
      </c>
      <c r="Z14" s="17">
        <v>205.7</v>
      </c>
      <c r="AA14" s="49">
        <f>Z14</f>
        <v>205.7</v>
      </c>
      <c r="AB14" s="50">
        <f>AA14</f>
        <v>205.7</v>
      </c>
      <c r="AC14" s="50">
        <f t="shared" ref="AC14:AI14" si="19">AB14</f>
        <v>205.7</v>
      </c>
      <c r="AD14" s="50">
        <f t="shared" si="19"/>
        <v>205.7</v>
      </c>
      <c r="AE14" s="50">
        <f t="shared" si="19"/>
        <v>205.7</v>
      </c>
      <c r="AF14" s="50">
        <f t="shared" si="19"/>
        <v>205.7</v>
      </c>
      <c r="AG14" s="50">
        <f t="shared" si="19"/>
        <v>205.7</v>
      </c>
      <c r="AH14" s="50">
        <f t="shared" si="19"/>
        <v>205.7</v>
      </c>
      <c r="AI14" s="50">
        <f t="shared" si="19"/>
        <v>205.7</v>
      </c>
    </row>
    <row r="16" spans="2:97" s="2" customFormat="1" x14ac:dyDescent="0.2">
      <c r="B16" s="2" t="s">
        <v>72</v>
      </c>
      <c r="D16" s="34"/>
      <c r="F16" s="34"/>
      <c r="H16" s="34"/>
      <c r="J16" s="34"/>
      <c r="L16" s="34"/>
      <c r="N16" s="34"/>
      <c r="P16" s="34"/>
      <c r="T16" s="28">
        <f t="shared" ref="T16" si="20">T4/S4-1</f>
        <v>-3.8033937975424648E-3</v>
      </c>
      <c r="U16" s="28">
        <f t="shared" ref="U16" si="21">U4/T4-1</f>
        <v>7.1953010279001361E-2</v>
      </c>
      <c r="V16" s="28">
        <f t="shared" ref="V16:W16" si="22">V4/U4-1</f>
        <v>3.6621004566209869E-2</v>
      </c>
      <c r="W16" s="28">
        <f t="shared" si="22"/>
        <v>3.0834287727954379E-3</v>
      </c>
      <c r="X16" s="28">
        <f>X4/W4-1</f>
        <v>1.4491480765852716E-2</v>
      </c>
      <c r="Y16" s="28">
        <f>Y4/X4-1</f>
        <v>0.11877759501341889</v>
      </c>
      <c r="Z16" s="28">
        <f>Z4/Y4-1</f>
        <v>5.9815832237096522E-2</v>
      </c>
      <c r="AA16" s="53">
        <v>0.05</v>
      </c>
      <c r="AB16" s="54">
        <v>0.05</v>
      </c>
      <c r="AC16" s="54">
        <v>0.03</v>
      </c>
      <c r="AD16" s="54">
        <v>0.02</v>
      </c>
      <c r="AE16" s="54">
        <v>0.02</v>
      </c>
      <c r="AF16" s="54">
        <v>0.02</v>
      </c>
      <c r="AG16" s="54">
        <v>0.02</v>
      </c>
      <c r="AH16" s="54">
        <v>0.02</v>
      </c>
      <c r="AI16" s="54">
        <v>0.02</v>
      </c>
    </row>
    <row r="17" spans="2:38" x14ac:dyDescent="0.2">
      <c r="B17" s="1" t="s">
        <v>73</v>
      </c>
      <c r="S17" s="19" t="s">
        <v>78</v>
      </c>
      <c r="T17" s="19" t="s">
        <v>78</v>
      </c>
      <c r="U17" s="19" t="s">
        <v>78</v>
      </c>
      <c r="V17" s="19" t="s">
        <v>78</v>
      </c>
      <c r="W17" s="19" t="s">
        <v>78</v>
      </c>
      <c r="X17" s="19" t="s">
        <v>78</v>
      </c>
      <c r="Y17" s="19" t="s">
        <v>78</v>
      </c>
      <c r="Z17" s="19" t="s">
        <v>78</v>
      </c>
    </row>
    <row r="19" spans="2:38" x14ac:dyDescent="0.2">
      <c r="B19" s="1" t="s">
        <v>74</v>
      </c>
      <c r="S19" s="29">
        <f t="shared" ref="S19:T19" si="23">S6/S4</f>
        <v>0.53276770040959631</v>
      </c>
      <c r="T19" s="29">
        <f t="shared" si="23"/>
        <v>0.53166911404796868</v>
      </c>
      <c r="U19" s="29">
        <f t="shared" ref="U19:W19" si="24">U6/U4</f>
        <v>0.51013698630136983</v>
      </c>
      <c r="V19" s="29">
        <f t="shared" si="24"/>
        <v>0.50233459607083075</v>
      </c>
      <c r="W19" s="29">
        <f t="shared" si="24"/>
        <v>0.50851923414719824</v>
      </c>
      <c r="X19" s="29">
        <f t="shared" ref="X19:Y19" si="25">X6/X4</f>
        <v>0.51051856982079469</v>
      </c>
      <c r="Y19" s="29">
        <f t="shared" si="25"/>
        <v>0.50785421341793702</v>
      </c>
      <c r="Z19" s="29">
        <f>Z6/Z4</f>
        <v>0.52694217289719625</v>
      </c>
      <c r="AA19" s="56">
        <v>0.53</v>
      </c>
      <c r="AB19" s="59">
        <v>0.53</v>
      </c>
      <c r="AC19" s="59">
        <v>0.53</v>
      </c>
      <c r="AD19" s="59">
        <v>0.53</v>
      </c>
      <c r="AE19" s="59">
        <v>0.53</v>
      </c>
      <c r="AF19" s="59">
        <v>0.53</v>
      </c>
      <c r="AG19" s="59">
        <v>0.53</v>
      </c>
      <c r="AH19" s="59">
        <v>0.53</v>
      </c>
      <c r="AI19" s="59">
        <v>0.53</v>
      </c>
      <c r="AK19" s="65" t="s">
        <v>113</v>
      </c>
      <c r="AL19" s="66">
        <v>0.01</v>
      </c>
    </row>
    <row r="20" spans="2:38" x14ac:dyDescent="0.2">
      <c r="B20" s="1" t="s">
        <v>75</v>
      </c>
      <c r="S20" s="29">
        <f t="shared" ref="S20:T20" si="26">S8/S4</f>
        <v>8.5137507314218902E-2</v>
      </c>
      <c r="T20" s="29">
        <f t="shared" si="26"/>
        <v>8.1057268722466977E-2</v>
      </c>
      <c r="U20" s="29">
        <f t="shared" ref="U20:W20" si="27">U8/U4</f>
        <v>6.7305936073059403E-2</v>
      </c>
      <c r="V20" s="29">
        <f t="shared" si="27"/>
        <v>6.1492379526032911E-2</v>
      </c>
      <c r="W20" s="29">
        <f t="shared" si="27"/>
        <v>4.7777972949235789E-2</v>
      </c>
      <c r="X20" s="29">
        <f t="shared" ref="X20:Y20" si="28">X8/X4</f>
        <v>2.8568955068825112E-2</v>
      </c>
      <c r="Y20" s="29">
        <f t="shared" si="28"/>
        <v>6.1518223322757873E-2</v>
      </c>
      <c r="Z20" s="29">
        <f>Z8/Z4</f>
        <v>7.878212616822429E-2</v>
      </c>
      <c r="AA20" s="56">
        <f>AA8/AA4</f>
        <v>6.6901285046729028E-2</v>
      </c>
      <c r="AB20" s="29">
        <f t="shared" ref="AB20:AI20" si="29">AB8/AB4</f>
        <v>6.2490821094793064E-2</v>
      </c>
      <c r="AC20" s="29">
        <f t="shared" si="29"/>
        <v>4.8874048893670516E-2</v>
      </c>
      <c r="AD20" s="29">
        <f t="shared" si="29"/>
        <v>4.4157127804392841E-2</v>
      </c>
      <c r="AE20" s="29">
        <f t="shared" si="29"/>
        <v>3.9393962390710448E-2</v>
      </c>
      <c r="AF20" s="29">
        <f t="shared" si="29"/>
        <v>3.4584099276893848E-2</v>
      </c>
      <c r="AG20" s="29">
        <f t="shared" si="29"/>
        <v>2.9727080642353645E-2</v>
      </c>
      <c r="AH20" s="29">
        <f t="shared" si="29"/>
        <v>2.4822444178062945E-2</v>
      </c>
      <c r="AI20" s="29">
        <f t="shared" si="29"/>
        <v>1.9869723042553758E-2</v>
      </c>
      <c r="AK20" s="13" t="s">
        <v>114</v>
      </c>
      <c r="AL20" s="67">
        <v>0.06</v>
      </c>
    </row>
    <row r="21" spans="2:38" x14ac:dyDescent="0.2">
      <c r="B21" s="1" t="s">
        <v>76</v>
      </c>
      <c r="S21" s="29">
        <f t="shared" ref="S21:T21" si="30">S12/S4</f>
        <v>6.4170079968792731E-2</v>
      </c>
      <c r="T21" s="29">
        <f t="shared" si="30"/>
        <v>6.2163485070974071E-2</v>
      </c>
      <c r="U21" s="29">
        <f t="shared" ref="U21:W21" si="31">U12/U4</f>
        <v>5.1506849315068534E-2</v>
      </c>
      <c r="V21" s="29">
        <f t="shared" si="31"/>
        <v>4.818958682054441E-2</v>
      </c>
      <c r="W21" s="29">
        <f t="shared" si="31"/>
        <v>3.6799578429650329E-2</v>
      </c>
      <c r="X21" s="29">
        <f t="shared" ref="X21:Y21" si="32">X12/X4</f>
        <v>1.5150203445589028E-2</v>
      </c>
      <c r="Y21" s="29">
        <f t="shared" si="32"/>
        <v>4.1166911707807785E-2</v>
      </c>
      <c r="Z21" s="29">
        <f>Z12/Z4</f>
        <v>5.6731892523364483E-2</v>
      </c>
      <c r="AA21" s="56">
        <f>AA12/AA4</f>
        <v>4.6122274143302229E-2</v>
      </c>
      <c r="AB21" s="29">
        <f t="shared" ref="AB21:AI21" si="33">AB12/AB4</f>
        <v>4.294622459575731E-2</v>
      </c>
      <c r="AC21" s="29">
        <f t="shared" si="33"/>
        <v>3.2296620901634696E-2</v>
      </c>
      <c r="AD21" s="29">
        <f t="shared" si="33"/>
        <v>2.8880247331266779E-2</v>
      </c>
      <c r="AE21" s="29">
        <f t="shared" si="33"/>
        <v>2.5013013289960959E-2</v>
      </c>
      <c r="AF21" s="29">
        <f t="shared" si="33"/>
        <v>2.1310603265101983E-2</v>
      </c>
      <c r="AG21" s="29">
        <f t="shared" si="33"/>
        <v>1.7571672202551899E-2</v>
      </c>
      <c r="AH21" s="29">
        <f t="shared" si="33"/>
        <v>1.3788005873016125E-2</v>
      </c>
      <c r="AI21" s="29">
        <f t="shared" si="33"/>
        <v>9.9165766429079125E-3</v>
      </c>
      <c r="AK21" s="13" t="s">
        <v>115</v>
      </c>
      <c r="AL21" s="68">
        <f>NPV(AL20,AA12:CS12)</f>
        <v>495.88636064297134</v>
      </c>
    </row>
    <row r="22" spans="2:38" x14ac:dyDescent="0.2">
      <c r="B22" s="1" t="s">
        <v>77</v>
      </c>
      <c r="S22" s="29">
        <f t="shared" ref="S22:T22" si="34">S11/S10</f>
        <v>0.21479713603818598</v>
      </c>
      <c r="T22" s="29">
        <f t="shared" si="34"/>
        <v>0.20426065162907267</v>
      </c>
      <c r="U22" s="29">
        <f t="shared" ref="U22:W22" si="35">U11/U10</f>
        <v>0.21008403361344524</v>
      </c>
      <c r="V22" s="29">
        <f t="shared" si="35"/>
        <v>0.18479880774962756</v>
      </c>
      <c r="W22" s="29">
        <f t="shared" si="35"/>
        <v>0.17843137254902008</v>
      </c>
      <c r="X22" s="29">
        <f t="shared" ref="X22:Y22" si="36">X11/X10</f>
        <v>9.7938144329897489E-2</v>
      </c>
      <c r="Y22" s="29">
        <f t="shared" si="36"/>
        <v>0.17519379844961241</v>
      </c>
      <c r="Z22" s="29">
        <f>Z11/Z10</f>
        <v>0.19565217391304351</v>
      </c>
      <c r="AA22" s="56">
        <v>0.2</v>
      </c>
      <c r="AB22" s="59">
        <f>AA22</f>
        <v>0.2</v>
      </c>
      <c r="AC22" s="59">
        <f t="shared" ref="AC22:AI22" si="37">AB22</f>
        <v>0.2</v>
      </c>
      <c r="AD22" s="59">
        <f t="shared" si="37"/>
        <v>0.2</v>
      </c>
      <c r="AE22" s="59">
        <f t="shared" si="37"/>
        <v>0.2</v>
      </c>
      <c r="AF22" s="59">
        <f t="shared" si="37"/>
        <v>0.2</v>
      </c>
      <c r="AG22" s="59">
        <f t="shared" si="37"/>
        <v>0.2</v>
      </c>
      <c r="AH22" s="59">
        <f t="shared" si="37"/>
        <v>0.2</v>
      </c>
      <c r="AI22" s="59">
        <f t="shared" si="37"/>
        <v>0.2</v>
      </c>
      <c r="AK22" s="13" t="s">
        <v>8</v>
      </c>
      <c r="AL22" s="68">
        <f>Main!C11</f>
        <v>49.8</v>
      </c>
    </row>
    <row r="23" spans="2:38" x14ac:dyDescent="0.2">
      <c r="AK23" s="13" t="s">
        <v>116</v>
      </c>
      <c r="AL23" s="68">
        <f>AL21-AL22</f>
        <v>446.08636064297133</v>
      </c>
    </row>
    <row r="24" spans="2:38" x14ac:dyDescent="0.2">
      <c r="AK24" s="3" t="s">
        <v>117</v>
      </c>
      <c r="AL24" s="69">
        <f>AL23/Main!C7</f>
        <v>2.1686259632618929</v>
      </c>
    </row>
    <row r="25" spans="2:38" x14ac:dyDescent="0.2">
      <c r="AK25" s="13" t="s">
        <v>118</v>
      </c>
      <c r="AL25" s="7">
        <f>Main!C6</f>
        <v>1.829</v>
      </c>
    </row>
    <row r="26" spans="2:38" x14ac:dyDescent="0.2">
      <c r="B26" s="30" t="s">
        <v>79</v>
      </c>
      <c r="AK26" s="14" t="s">
        <v>119</v>
      </c>
      <c r="AL26" s="70">
        <f>AL24/AL25-1</f>
        <v>0.18568942769923069</v>
      </c>
    </row>
    <row r="27" spans="2:38" x14ac:dyDescent="0.2">
      <c r="B27" s="1" t="s">
        <v>80</v>
      </c>
      <c r="S27" s="1">
        <v>356.8</v>
      </c>
      <c r="T27" s="1">
        <v>362.9</v>
      </c>
      <c r="U27" s="17">
        <v>394.1</v>
      </c>
      <c r="V27" s="17">
        <v>393.9</v>
      </c>
      <c r="W27" s="17">
        <v>387.4</v>
      </c>
      <c r="X27" s="17">
        <v>395.7</v>
      </c>
      <c r="Y27" s="17">
        <v>398.3</v>
      </c>
      <c r="Z27" s="17">
        <v>442.4</v>
      </c>
    </row>
    <row r="28" spans="2:38" x14ac:dyDescent="0.2">
      <c r="B28" s="1" t="s">
        <v>81</v>
      </c>
      <c r="S28" s="1">
        <v>103.8</v>
      </c>
      <c r="T28" s="1">
        <v>107.3</v>
      </c>
      <c r="U28" s="17">
        <v>102.8</v>
      </c>
      <c r="V28" s="17">
        <v>101.3</v>
      </c>
      <c r="W28" s="17">
        <v>97.3</v>
      </c>
      <c r="X28" s="17">
        <v>83.1</v>
      </c>
      <c r="Y28" s="17">
        <v>81.3</v>
      </c>
      <c r="Z28" s="17">
        <v>101.7</v>
      </c>
    </row>
    <row r="29" spans="2:38" x14ac:dyDescent="0.2">
      <c r="B29" s="1" t="s">
        <v>82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349.9</v>
      </c>
      <c r="Y29" s="17">
        <v>282.8</v>
      </c>
      <c r="Z29" s="17">
        <v>350.2</v>
      </c>
    </row>
    <row r="30" spans="2:38" s="2" customFormat="1" x14ac:dyDescent="0.2">
      <c r="B30" s="2" t="s">
        <v>83</v>
      </c>
      <c r="D30" s="34"/>
      <c r="F30" s="34"/>
      <c r="H30" s="34"/>
      <c r="J30" s="34"/>
      <c r="L30" s="34"/>
      <c r="N30" s="34"/>
      <c r="P30" s="34"/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0.1</v>
      </c>
      <c r="Z30" s="26">
        <v>0</v>
      </c>
      <c r="AA30" s="57"/>
      <c r="AB30" s="58"/>
      <c r="AC30" s="58"/>
      <c r="AD30" s="58"/>
      <c r="AE30" s="58"/>
      <c r="AF30" s="58"/>
      <c r="AG30" s="58"/>
      <c r="AH30" s="58"/>
      <c r="AI30" s="58"/>
    </row>
    <row r="31" spans="2:38" x14ac:dyDescent="0.2">
      <c r="B31" s="1" t="s">
        <v>84</v>
      </c>
      <c r="S31" s="1">
        <v>4.0999999999999996</v>
      </c>
      <c r="T31" s="1">
        <v>0</v>
      </c>
      <c r="U31" s="17">
        <v>0</v>
      </c>
      <c r="V31" s="17">
        <v>0</v>
      </c>
      <c r="W31" s="17">
        <v>0</v>
      </c>
      <c r="X31" s="17">
        <v>7.3</v>
      </c>
      <c r="Y31" s="17">
        <v>12.3</v>
      </c>
      <c r="Z31" s="17">
        <v>14.7</v>
      </c>
    </row>
    <row r="32" spans="2:38" x14ac:dyDescent="0.2">
      <c r="B32" s="1" t="s">
        <v>112</v>
      </c>
      <c r="S32" s="17">
        <v>0</v>
      </c>
      <c r="T32" s="17">
        <v>0</v>
      </c>
      <c r="U32" s="17">
        <v>8.1</v>
      </c>
      <c r="V32" s="17">
        <v>8.1</v>
      </c>
      <c r="W32" s="17">
        <v>0</v>
      </c>
      <c r="X32" s="17">
        <v>0</v>
      </c>
      <c r="Y32" s="17">
        <v>0</v>
      </c>
      <c r="Z32" s="17">
        <v>0</v>
      </c>
    </row>
    <row r="33" spans="2:35" x14ac:dyDescent="0.2">
      <c r="B33" s="1" t="s">
        <v>85</v>
      </c>
      <c r="S33" s="17">
        <f t="shared" ref="S33:Z33" si="38">SUM(S27:S32)</f>
        <v>464.70000000000005</v>
      </c>
      <c r="T33" s="17">
        <f t="shared" si="38"/>
        <v>470.2</v>
      </c>
      <c r="U33" s="17">
        <f t="shared" si="38"/>
        <v>505.00000000000006</v>
      </c>
      <c r="V33" s="17">
        <f t="shared" si="38"/>
        <v>503.3</v>
      </c>
      <c r="W33" s="17">
        <f t="shared" si="38"/>
        <v>484.7</v>
      </c>
      <c r="X33" s="17">
        <f t="shared" si="38"/>
        <v>835.99999999999989</v>
      </c>
      <c r="Y33" s="17">
        <f t="shared" si="38"/>
        <v>774.80000000000007</v>
      </c>
      <c r="Z33" s="17">
        <f t="shared" si="38"/>
        <v>909</v>
      </c>
    </row>
    <row r="34" spans="2:35" s="2" customFormat="1" x14ac:dyDescent="0.2">
      <c r="B34" s="2" t="s">
        <v>86</v>
      </c>
      <c r="D34" s="34"/>
      <c r="F34" s="34"/>
      <c r="H34" s="34"/>
      <c r="J34" s="34"/>
      <c r="L34" s="34"/>
      <c r="N34" s="34"/>
      <c r="P34" s="34"/>
      <c r="S34" s="2">
        <v>149.30000000000001</v>
      </c>
      <c r="T34" s="2">
        <v>157.9</v>
      </c>
      <c r="U34" s="26">
        <v>191.1</v>
      </c>
      <c r="V34" s="26">
        <v>195.5</v>
      </c>
      <c r="W34" s="26">
        <v>173.7</v>
      </c>
      <c r="X34" s="26">
        <v>173</v>
      </c>
      <c r="Y34" s="26">
        <v>143.9</v>
      </c>
      <c r="Z34" s="26">
        <v>222.1</v>
      </c>
      <c r="AA34" s="57"/>
      <c r="AB34" s="58"/>
      <c r="AC34" s="58"/>
      <c r="AD34" s="58"/>
      <c r="AE34" s="58"/>
      <c r="AF34" s="58"/>
      <c r="AG34" s="58"/>
      <c r="AH34" s="58"/>
      <c r="AI34" s="58"/>
    </row>
    <row r="35" spans="2:35" x14ac:dyDescent="0.2">
      <c r="B35" s="1" t="s">
        <v>87</v>
      </c>
      <c r="S35" s="1">
        <v>55.8</v>
      </c>
      <c r="T35" s="1">
        <v>60.7</v>
      </c>
      <c r="U35" s="17">
        <v>58.4</v>
      </c>
      <c r="V35" s="17">
        <v>56</v>
      </c>
      <c r="W35" s="17">
        <v>59.1</v>
      </c>
      <c r="X35" s="17">
        <v>53.5</v>
      </c>
      <c r="Y35" s="17">
        <v>74.099999999999994</v>
      </c>
      <c r="Z35" s="17">
        <v>92.6</v>
      </c>
    </row>
    <row r="36" spans="2:35" x14ac:dyDescent="0.2">
      <c r="B36" s="1" t="s">
        <v>88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6</v>
      </c>
      <c r="Z36" s="17">
        <v>0</v>
      </c>
    </row>
    <row r="37" spans="2:35" s="2" customFormat="1" x14ac:dyDescent="0.2">
      <c r="B37" s="2" t="s">
        <v>83</v>
      </c>
      <c r="D37" s="34"/>
      <c r="F37" s="34"/>
      <c r="H37" s="34"/>
      <c r="J37" s="34"/>
      <c r="L37" s="34"/>
      <c r="N37" s="34"/>
      <c r="P37" s="34"/>
      <c r="S37" s="2">
        <v>3.9</v>
      </c>
      <c r="T37" s="2">
        <v>4.2</v>
      </c>
      <c r="U37" s="26">
        <v>5.2</v>
      </c>
      <c r="V37" s="26">
        <v>0.3</v>
      </c>
      <c r="W37" s="26">
        <v>3.2</v>
      </c>
      <c r="X37" s="26">
        <v>8.6999999999999993</v>
      </c>
      <c r="Y37" s="26">
        <v>0.5</v>
      </c>
      <c r="Z37" s="26">
        <v>4.2</v>
      </c>
      <c r="AA37" s="57"/>
      <c r="AB37" s="58"/>
      <c r="AC37" s="58"/>
      <c r="AD37" s="58"/>
      <c r="AE37" s="58"/>
      <c r="AF37" s="58"/>
      <c r="AG37" s="58"/>
      <c r="AH37" s="58"/>
      <c r="AI37" s="58"/>
    </row>
    <row r="38" spans="2:35" x14ac:dyDescent="0.2">
      <c r="B38" s="1" t="s">
        <v>89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8.1999999999999993</v>
      </c>
      <c r="Y38" s="17">
        <v>3.1</v>
      </c>
      <c r="Z38" s="17">
        <v>3.9</v>
      </c>
    </row>
    <row r="39" spans="2:35" s="2" customFormat="1" x14ac:dyDescent="0.2">
      <c r="B39" s="2" t="s">
        <v>6</v>
      </c>
      <c r="D39" s="34"/>
      <c r="F39" s="34"/>
      <c r="H39" s="34"/>
      <c r="J39" s="34"/>
      <c r="L39" s="34"/>
      <c r="N39" s="34"/>
      <c r="P39" s="34"/>
      <c r="S39" s="2">
        <v>22.4</v>
      </c>
      <c r="T39" s="2">
        <v>11.9</v>
      </c>
      <c r="U39" s="26">
        <v>16.5</v>
      </c>
      <c r="V39" s="26">
        <v>27</v>
      </c>
      <c r="W39" s="26">
        <v>9.8000000000000007</v>
      </c>
      <c r="X39" s="26">
        <v>115.5</v>
      </c>
      <c r="Y39" s="26">
        <v>67.2</v>
      </c>
      <c r="Z39" s="26">
        <v>46.3</v>
      </c>
      <c r="AA39" s="57"/>
      <c r="AB39" s="58"/>
      <c r="AC39" s="58"/>
      <c r="AD39" s="58"/>
      <c r="AE39" s="58"/>
      <c r="AF39" s="58"/>
      <c r="AG39" s="58"/>
      <c r="AH39" s="58"/>
      <c r="AI39" s="58"/>
    </row>
    <row r="40" spans="2:35" x14ac:dyDescent="0.2">
      <c r="B40" s="1" t="s">
        <v>90</v>
      </c>
      <c r="S40" s="17">
        <f t="shared" ref="S40:Y40" si="39">SUM(S33:S39)</f>
        <v>696.09999999999991</v>
      </c>
      <c r="T40" s="17">
        <f t="shared" si="39"/>
        <v>704.90000000000009</v>
      </c>
      <c r="U40" s="17">
        <f t="shared" si="39"/>
        <v>776.2</v>
      </c>
      <c r="V40" s="17">
        <f t="shared" si="39"/>
        <v>782.09999999999991</v>
      </c>
      <c r="W40" s="17">
        <f t="shared" si="39"/>
        <v>730.5</v>
      </c>
      <c r="X40" s="17">
        <f t="shared" si="39"/>
        <v>1194.9000000000001</v>
      </c>
      <c r="Y40" s="17">
        <f t="shared" si="39"/>
        <v>1069.6000000000001</v>
      </c>
      <c r="Z40" s="17">
        <f>SUM(Z33:Z39)</f>
        <v>1278.0999999999999</v>
      </c>
    </row>
    <row r="41" spans="2:35" x14ac:dyDescent="0.2">
      <c r="Y41" s="17"/>
    </row>
    <row r="42" spans="2:35" s="2" customFormat="1" x14ac:dyDescent="0.2">
      <c r="B42" s="2" t="s">
        <v>91</v>
      </c>
      <c r="D42" s="34"/>
      <c r="F42" s="34"/>
      <c r="H42" s="34"/>
      <c r="J42" s="34"/>
      <c r="L42" s="34"/>
      <c r="N42" s="34"/>
      <c r="P42" s="34"/>
      <c r="S42" s="2">
        <v>22.9</v>
      </c>
      <c r="T42" s="2">
        <v>23.4</v>
      </c>
      <c r="U42" s="26">
        <v>19.8</v>
      </c>
      <c r="V42" s="26">
        <v>20.8</v>
      </c>
      <c r="W42" s="2">
        <v>18.5</v>
      </c>
      <c r="X42" s="26">
        <v>0.2</v>
      </c>
      <c r="Y42" s="26">
        <v>0.2</v>
      </c>
      <c r="Z42" s="26">
        <v>0.2</v>
      </c>
      <c r="AA42" s="57"/>
      <c r="AB42" s="58"/>
      <c r="AC42" s="58"/>
      <c r="AD42" s="58"/>
      <c r="AE42" s="58"/>
      <c r="AF42" s="58"/>
      <c r="AG42" s="58"/>
      <c r="AH42" s="58"/>
      <c r="AI42" s="58"/>
    </row>
    <row r="43" spans="2:35" x14ac:dyDescent="0.2">
      <c r="B43" s="1" t="s">
        <v>92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83.2</v>
      </c>
      <c r="Y43" s="17">
        <v>63.4</v>
      </c>
      <c r="Z43" s="17">
        <v>74.5</v>
      </c>
    </row>
    <row r="44" spans="2:35" s="2" customFormat="1" x14ac:dyDescent="0.2">
      <c r="B44" s="2" t="s">
        <v>83</v>
      </c>
      <c r="D44" s="34"/>
      <c r="F44" s="34"/>
      <c r="H44" s="34"/>
      <c r="J44" s="34"/>
      <c r="L44" s="34"/>
      <c r="N44" s="34"/>
      <c r="P44" s="34"/>
      <c r="S44" s="2">
        <v>0.1</v>
      </c>
      <c r="T44" s="26">
        <v>0</v>
      </c>
      <c r="U44" s="26">
        <v>1.5</v>
      </c>
      <c r="V44" s="26">
        <v>5.4</v>
      </c>
      <c r="W44" s="2">
        <v>1.4</v>
      </c>
      <c r="X44" s="26">
        <v>1.1000000000000001</v>
      </c>
      <c r="Y44" s="26">
        <v>5.9</v>
      </c>
      <c r="Z44" s="26">
        <v>0.5</v>
      </c>
      <c r="AA44" s="57"/>
      <c r="AB44" s="58"/>
      <c r="AC44" s="58"/>
      <c r="AD44" s="58"/>
      <c r="AE44" s="58"/>
      <c r="AF44" s="58"/>
      <c r="AG44" s="58"/>
      <c r="AH44" s="58"/>
      <c r="AI44" s="58"/>
    </row>
    <row r="45" spans="2:35" x14ac:dyDescent="0.2">
      <c r="B45" s="1" t="s">
        <v>93</v>
      </c>
      <c r="S45" s="1">
        <v>181.4</v>
      </c>
      <c r="T45" s="1">
        <v>182.5</v>
      </c>
      <c r="U45" s="17">
        <v>206.2</v>
      </c>
      <c r="V45" s="17">
        <v>187</v>
      </c>
      <c r="W45" s="1">
        <v>176.4</v>
      </c>
      <c r="X45" s="17">
        <v>217</v>
      </c>
      <c r="Y45" s="17">
        <v>258.2</v>
      </c>
      <c r="Z45" s="17">
        <v>299.60000000000002</v>
      </c>
    </row>
    <row r="46" spans="2:35" x14ac:dyDescent="0.2">
      <c r="B46" s="1" t="s">
        <v>94</v>
      </c>
      <c r="S46" s="1">
        <v>12.4</v>
      </c>
      <c r="T46" s="1">
        <v>7.5</v>
      </c>
      <c r="U46" s="17">
        <v>8.6999999999999993</v>
      </c>
      <c r="V46" s="17">
        <v>3.3</v>
      </c>
      <c r="W46" s="1">
        <v>3.3</v>
      </c>
      <c r="X46" s="17">
        <v>0</v>
      </c>
      <c r="Y46" s="17">
        <v>0</v>
      </c>
      <c r="Z46" s="17">
        <v>4</v>
      </c>
    </row>
    <row r="47" spans="2:35" x14ac:dyDescent="0.2">
      <c r="B47" s="1" t="s">
        <v>95</v>
      </c>
      <c r="S47" s="1">
        <v>10.6</v>
      </c>
      <c r="T47" s="1">
        <v>9.5</v>
      </c>
      <c r="U47" s="17">
        <v>11</v>
      </c>
      <c r="V47" s="17">
        <v>11.9</v>
      </c>
      <c r="W47" s="1">
        <v>15.1</v>
      </c>
      <c r="X47" s="17">
        <v>9.6999999999999993</v>
      </c>
      <c r="Y47" s="17">
        <v>24.5</v>
      </c>
      <c r="Z47" s="17">
        <v>20.5</v>
      </c>
    </row>
    <row r="48" spans="2:35" x14ac:dyDescent="0.2">
      <c r="B48" s="1" t="s">
        <v>96</v>
      </c>
      <c r="S48" s="17">
        <f t="shared" ref="S48:V48" si="40">SUM(S42:S47)</f>
        <v>227.4</v>
      </c>
      <c r="T48" s="17">
        <f t="shared" si="40"/>
        <v>222.9</v>
      </c>
      <c r="U48" s="17">
        <f t="shared" si="40"/>
        <v>247.2</v>
      </c>
      <c r="V48" s="17">
        <f t="shared" si="40"/>
        <v>228.4</v>
      </c>
      <c r="W48" s="17">
        <f>SUM(W42:W47)</f>
        <v>214.70000000000002</v>
      </c>
      <c r="X48" s="17">
        <f>SUM(X42:X47)</f>
        <v>311.2</v>
      </c>
      <c r="Y48" s="17">
        <f>SUM(Y42:Y47)</f>
        <v>352.2</v>
      </c>
      <c r="Z48" s="17">
        <f>SUM(Z42:Z47)</f>
        <v>399.3</v>
      </c>
    </row>
    <row r="49" spans="2:35" s="2" customFormat="1" x14ac:dyDescent="0.2">
      <c r="B49" s="2" t="s">
        <v>91</v>
      </c>
      <c r="D49" s="34"/>
      <c r="F49" s="34"/>
      <c r="H49" s="34"/>
      <c r="J49" s="34"/>
      <c r="L49" s="34"/>
      <c r="N49" s="34"/>
      <c r="P49" s="34"/>
      <c r="S49" s="2">
        <v>61.3</v>
      </c>
      <c r="T49" s="2">
        <v>36.4</v>
      </c>
      <c r="U49" s="26">
        <v>82.6</v>
      </c>
      <c r="V49" s="26">
        <v>94</v>
      </c>
      <c r="W49" s="2">
        <v>73.099999999999994</v>
      </c>
      <c r="X49" s="26">
        <v>179.1</v>
      </c>
      <c r="Y49" s="26">
        <v>0</v>
      </c>
      <c r="Z49" s="26">
        <v>0</v>
      </c>
      <c r="AA49" s="57"/>
      <c r="AB49" s="58"/>
      <c r="AC49" s="58"/>
      <c r="AD49" s="58"/>
      <c r="AE49" s="58"/>
      <c r="AF49" s="58"/>
      <c r="AG49" s="58"/>
      <c r="AH49" s="58"/>
      <c r="AI49" s="58"/>
    </row>
    <row r="50" spans="2:35" x14ac:dyDescent="0.2">
      <c r="B50" s="1" t="s">
        <v>92</v>
      </c>
      <c r="S50" s="1">
        <v>31.5</v>
      </c>
      <c r="T50" s="1">
        <v>32.299999999999997</v>
      </c>
      <c r="U50" s="17">
        <v>31.9</v>
      </c>
      <c r="V50" s="17">
        <v>31.2</v>
      </c>
      <c r="W50" s="1">
        <v>0</v>
      </c>
      <c r="X50" s="17">
        <v>332.8</v>
      </c>
      <c r="Y50" s="17">
        <v>280.89999999999998</v>
      </c>
      <c r="Z50" s="17">
        <v>316.5</v>
      </c>
    </row>
    <row r="51" spans="2:35" s="2" customFormat="1" x14ac:dyDescent="0.2">
      <c r="B51" s="2" t="s">
        <v>83</v>
      </c>
      <c r="D51" s="34"/>
      <c r="F51" s="34"/>
      <c r="H51" s="34"/>
      <c r="J51" s="34"/>
      <c r="L51" s="34"/>
      <c r="N51" s="34"/>
      <c r="P51" s="34"/>
      <c r="S51" s="26">
        <v>0</v>
      </c>
      <c r="T51" s="26">
        <v>0</v>
      </c>
      <c r="U51" s="26">
        <v>0</v>
      </c>
      <c r="V51" s="26">
        <v>0</v>
      </c>
      <c r="W51" s="2">
        <v>0</v>
      </c>
      <c r="X51" s="26">
        <v>0</v>
      </c>
      <c r="Y51" s="26">
        <v>0.4</v>
      </c>
      <c r="Z51" s="26">
        <v>0</v>
      </c>
      <c r="AA51" s="57"/>
      <c r="AB51" s="58"/>
      <c r="AC51" s="58"/>
      <c r="AD51" s="58"/>
      <c r="AE51" s="58"/>
      <c r="AF51" s="58"/>
      <c r="AG51" s="58"/>
      <c r="AH51" s="58"/>
      <c r="AI51" s="58"/>
    </row>
    <row r="52" spans="2:35" x14ac:dyDescent="0.2">
      <c r="B52" s="1" t="s">
        <v>93</v>
      </c>
      <c r="S52" s="17">
        <v>0</v>
      </c>
      <c r="T52" s="17">
        <v>0</v>
      </c>
      <c r="U52" s="17">
        <v>0</v>
      </c>
      <c r="V52" s="17">
        <v>0</v>
      </c>
      <c r="W52" s="1">
        <v>28.1</v>
      </c>
      <c r="X52" s="17">
        <v>1.9</v>
      </c>
      <c r="Y52" s="17">
        <v>3.3</v>
      </c>
      <c r="Z52" s="17">
        <v>4.9000000000000004</v>
      </c>
    </row>
    <row r="53" spans="2:35" x14ac:dyDescent="0.2">
      <c r="B53" s="1" t="s">
        <v>84</v>
      </c>
      <c r="S53" s="17">
        <v>0</v>
      </c>
      <c r="T53" s="17">
        <v>0</v>
      </c>
      <c r="U53" s="17">
        <v>0.8</v>
      </c>
      <c r="V53" s="17">
        <v>2.7</v>
      </c>
      <c r="W53" s="1">
        <v>0.1</v>
      </c>
      <c r="X53" s="17">
        <v>0</v>
      </c>
      <c r="Y53" s="17">
        <v>0</v>
      </c>
      <c r="Z53" s="17">
        <v>0</v>
      </c>
    </row>
    <row r="54" spans="2:35" x14ac:dyDescent="0.2">
      <c r="B54" s="1" t="s">
        <v>95</v>
      </c>
      <c r="S54" s="1">
        <v>8.1999999999999993</v>
      </c>
      <c r="T54" s="1">
        <v>7.9</v>
      </c>
      <c r="U54" s="17">
        <v>6.2</v>
      </c>
      <c r="V54" s="17">
        <v>3.9</v>
      </c>
      <c r="W54" s="1">
        <v>5.2</v>
      </c>
      <c r="X54" s="17">
        <v>4.0999999999999996</v>
      </c>
      <c r="Y54" s="17">
        <v>15</v>
      </c>
      <c r="Z54" s="17">
        <v>6.4</v>
      </c>
    </row>
    <row r="55" spans="2:35" x14ac:dyDescent="0.2">
      <c r="B55" s="1" t="s">
        <v>97</v>
      </c>
      <c r="S55" s="17">
        <f t="shared" ref="S55:V55" si="41">SUM(S48:S54)</f>
        <v>328.4</v>
      </c>
      <c r="T55" s="17">
        <f t="shared" si="41"/>
        <v>299.5</v>
      </c>
      <c r="U55" s="17">
        <f t="shared" si="41"/>
        <v>368.69999999999993</v>
      </c>
      <c r="V55" s="17">
        <f t="shared" si="41"/>
        <v>360.19999999999993</v>
      </c>
      <c r="W55" s="17">
        <f>SUM(W48:W54)</f>
        <v>321.20000000000005</v>
      </c>
      <c r="X55" s="17">
        <f>SUM(X48:X54)</f>
        <v>829.09999999999991</v>
      </c>
      <c r="Y55" s="17">
        <f>SUM(Y48:Y54)</f>
        <v>651.79999999999984</v>
      </c>
      <c r="Z55" s="17">
        <f>SUM(Z48:Z54)</f>
        <v>727.09999999999991</v>
      </c>
    </row>
    <row r="57" spans="2:35" s="17" customFormat="1" x14ac:dyDescent="0.2">
      <c r="B57" s="17" t="s">
        <v>98</v>
      </c>
      <c r="D57" s="36"/>
      <c r="F57" s="36"/>
      <c r="H57" s="36"/>
      <c r="J57" s="36"/>
      <c r="L57" s="36"/>
      <c r="N57" s="36"/>
      <c r="P57" s="36"/>
      <c r="S57" s="17">
        <v>367.7</v>
      </c>
      <c r="T57" s="17">
        <v>405.4</v>
      </c>
      <c r="U57" s="17">
        <v>407.5</v>
      </c>
      <c r="V57" s="17">
        <v>421.9</v>
      </c>
      <c r="W57" s="17">
        <v>409.3</v>
      </c>
      <c r="X57" s="17">
        <v>365.8</v>
      </c>
      <c r="Y57" s="17">
        <v>417.8</v>
      </c>
      <c r="Z57" s="17">
        <v>551</v>
      </c>
      <c r="AA57" s="49"/>
      <c r="AB57" s="50"/>
      <c r="AC57" s="50"/>
      <c r="AD57" s="50"/>
      <c r="AE57" s="50"/>
      <c r="AF57" s="50"/>
      <c r="AG57" s="50"/>
      <c r="AH57" s="50"/>
      <c r="AI57" s="50"/>
    </row>
    <row r="58" spans="2:35" s="17" customFormat="1" x14ac:dyDescent="0.2">
      <c r="B58" s="17" t="s">
        <v>99</v>
      </c>
      <c r="D58" s="36"/>
      <c r="F58" s="36"/>
      <c r="H58" s="36"/>
      <c r="J58" s="36"/>
      <c r="L58" s="36"/>
      <c r="N58" s="36"/>
      <c r="P58" s="36"/>
      <c r="S58" s="17">
        <f t="shared" ref="S58:V58" si="42">S57+S55</f>
        <v>696.09999999999991</v>
      </c>
      <c r="T58" s="17">
        <f t="shared" si="42"/>
        <v>704.9</v>
      </c>
      <c r="U58" s="17">
        <f t="shared" si="42"/>
        <v>776.19999999999993</v>
      </c>
      <c r="V58" s="17">
        <f t="shared" si="42"/>
        <v>782.09999999999991</v>
      </c>
      <c r="W58" s="17">
        <f>W57+W55</f>
        <v>730.5</v>
      </c>
      <c r="X58" s="17">
        <f>X57+X55</f>
        <v>1194.8999999999999</v>
      </c>
      <c r="Y58" s="17">
        <f>Y57+Y55</f>
        <v>1069.5999999999999</v>
      </c>
      <c r="Z58" s="17">
        <f>Z57+Z55</f>
        <v>1278.0999999999999</v>
      </c>
      <c r="AA58" s="49"/>
      <c r="AB58" s="50"/>
      <c r="AC58" s="50"/>
      <c r="AD58" s="50"/>
      <c r="AE58" s="50"/>
      <c r="AF58" s="50"/>
      <c r="AG58" s="50"/>
      <c r="AH58" s="50"/>
      <c r="AI58" s="50"/>
    </row>
    <row r="60" spans="2:35" x14ac:dyDescent="0.2">
      <c r="B60" s="1" t="s">
        <v>100</v>
      </c>
      <c r="S60" s="17">
        <f t="shared" ref="S60:T60" si="43">S40-S55</f>
        <v>367.69999999999993</v>
      </c>
      <c r="T60" s="17">
        <f t="shared" si="43"/>
        <v>405.40000000000009</v>
      </c>
      <c r="U60" s="17">
        <f t="shared" ref="U60:W60" si="44">U40-U55</f>
        <v>407.50000000000011</v>
      </c>
      <c r="V60" s="17">
        <f t="shared" si="44"/>
        <v>421.9</v>
      </c>
      <c r="W60" s="17">
        <f t="shared" si="44"/>
        <v>409.29999999999995</v>
      </c>
      <c r="X60" s="17">
        <f t="shared" ref="X60:Y60" si="45">X40-X55</f>
        <v>365.80000000000018</v>
      </c>
      <c r="Y60" s="17">
        <f t="shared" si="45"/>
        <v>417.8000000000003</v>
      </c>
      <c r="Z60" s="17">
        <f>Z40-Z55</f>
        <v>551</v>
      </c>
    </row>
    <row r="61" spans="2:35" x14ac:dyDescent="0.2">
      <c r="B61" s="1" t="s">
        <v>101</v>
      </c>
      <c r="S61" s="1">
        <f t="shared" ref="S61:T61" si="46">S60/S14</f>
        <v>1.8627152988855114</v>
      </c>
      <c r="T61" s="1">
        <f t="shared" si="46"/>
        <v>2.0652063168619463</v>
      </c>
      <c r="U61" s="1">
        <f t="shared" ref="U61:W61" si="47">U60/U14</f>
        <v>2.0674784373414519</v>
      </c>
      <c r="V61" s="1">
        <f t="shared" si="47"/>
        <v>2.1243705941591138</v>
      </c>
      <c r="W61" s="1">
        <f t="shared" si="47"/>
        <v>2.0557508789552985</v>
      </c>
      <c r="X61" s="1">
        <f t="shared" ref="X61:Y61" si="48">X60/X14</f>
        <v>1.8372677046710206</v>
      </c>
      <c r="Y61" s="1">
        <f t="shared" si="48"/>
        <v>2.0984429934706195</v>
      </c>
      <c r="Z61" s="1">
        <f>Z60/Z14</f>
        <v>2.6786582401555665</v>
      </c>
    </row>
    <row r="63" spans="2:35" x14ac:dyDescent="0.2">
      <c r="B63" s="1" t="s">
        <v>6</v>
      </c>
      <c r="S63" s="17">
        <f t="shared" ref="S63:T63" si="49">S30+S37+S39</f>
        <v>26.299999999999997</v>
      </c>
      <c r="T63" s="17">
        <f t="shared" si="49"/>
        <v>16.100000000000001</v>
      </c>
      <c r="U63" s="17">
        <f t="shared" ref="U63:W63" si="50">U30+U37+U39</f>
        <v>21.7</v>
      </c>
      <c r="V63" s="17">
        <f t="shared" si="50"/>
        <v>27.3</v>
      </c>
      <c r="W63" s="17">
        <f t="shared" si="50"/>
        <v>13</v>
      </c>
      <c r="X63" s="17">
        <f t="shared" ref="X63:Y63" si="51">X30+X37+X39</f>
        <v>124.2</v>
      </c>
      <c r="Y63" s="17">
        <f t="shared" si="51"/>
        <v>67.8</v>
      </c>
      <c r="Z63" s="17">
        <f>Z30+Z37+Z39</f>
        <v>50.5</v>
      </c>
    </row>
    <row r="64" spans="2:35" x14ac:dyDescent="0.2">
      <c r="B64" s="1" t="s">
        <v>7</v>
      </c>
      <c r="S64" s="17">
        <f t="shared" ref="S64:T64" si="52">S42+S44+S49+S51</f>
        <v>84.3</v>
      </c>
      <c r="T64" s="17">
        <f t="shared" si="52"/>
        <v>59.8</v>
      </c>
      <c r="U64" s="17">
        <f t="shared" ref="U64:W64" si="53">U42+U44+U49+U51</f>
        <v>103.89999999999999</v>
      </c>
      <c r="V64" s="17">
        <f t="shared" si="53"/>
        <v>120.2</v>
      </c>
      <c r="W64" s="17">
        <f t="shared" si="53"/>
        <v>93</v>
      </c>
      <c r="X64" s="17">
        <f t="shared" ref="X64:Y64" si="54">X42+X44+X49+X51</f>
        <v>180.4</v>
      </c>
      <c r="Y64" s="17">
        <f t="shared" si="54"/>
        <v>6.5000000000000009</v>
      </c>
      <c r="Z64" s="17">
        <f>Z42+Z44+Z49+Z51</f>
        <v>0.7</v>
      </c>
    </row>
    <row r="65" spans="1:35" x14ac:dyDescent="0.2">
      <c r="B65" s="1" t="s">
        <v>8</v>
      </c>
      <c r="S65" s="17">
        <f t="shared" ref="S65:T65" si="55">S63-S64</f>
        <v>-58</v>
      </c>
      <c r="T65" s="17">
        <f t="shared" si="55"/>
        <v>-43.699999999999996</v>
      </c>
      <c r="U65" s="17">
        <f t="shared" ref="U65:W65" si="56">U63-U64</f>
        <v>-82.199999999999989</v>
      </c>
      <c r="V65" s="17">
        <f t="shared" si="56"/>
        <v>-92.9</v>
      </c>
      <c r="W65" s="17">
        <f t="shared" si="56"/>
        <v>-80</v>
      </c>
      <c r="X65" s="17">
        <f t="shared" ref="X65:Y65" si="57">X63-X64</f>
        <v>-56.2</v>
      </c>
      <c r="Y65" s="17">
        <f t="shared" si="57"/>
        <v>61.3</v>
      </c>
      <c r="Z65" s="17">
        <f>Z63-Z64</f>
        <v>49.8</v>
      </c>
    </row>
    <row r="67" spans="1:35" s="29" customFormat="1" x14ac:dyDescent="0.2">
      <c r="B67" s="29" t="s">
        <v>102</v>
      </c>
      <c r="D67" s="40"/>
      <c r="F67" s="40"/>
      <c r="H67" s="40"/>
      <c r="J67" s="40"/>
      <c r="L67" s="40"/>
      <c r="N67" s="40"/>
      <c r="P67" s="40"/>
      <c r="T67" s="29">
        <f t="shared" ref="T67" si="58">T34/S34-1</f>
        <v>5.7602143335566014E-2</v>
      </c>
      <c r="U67" s="29">
        <f t="shared" ref="U67" si="59">U34/T34-1</f>
        <v>0.21025965801139956</v>
      </c>
      <c r="V67" s="29">
        <f t="shared" ref="V67:W67" si="60">V34/U34-1</f>
        <v>2.3024594453165959E-2</v>
      </c>
      <c r="W67" s="29">
        <f t="shared" si="60"/>
        <v>-0.11150895140664963</v>
      </c>
      <c r="X67" s="29">
        <f>X34/W34-1</f>
        <v>-4.029936672423684E-3</v>
      </c>
      <c r="Y67" s="29">
        <f>Y34/X34-1</f>
        <v>-0.16820809248554913</v>
      </c>
      <c r="Z67" s="29">
        <f>Z34/Y34-1</f>
        <v>0.54343293954134797</v>
      </c>
      <c r="AA67" s="56"/>
      <c r="AB67" s="59"/>
      <c r="AC67" s="59"/>
      <c r="AD67" s="59"/>
      <c r="AE67" s="59"/>
      <c r="AF67" s="59"/>
      <c r="AG67" s="59"/>
      <c r="AH67" s="59"/>
      <c r="AI67" s="59"/>
    </row>
    <row r="69" spans="1:35" s="38" customFormat="1" x14ac:dyDescent="0.2">
      <c r="B69" s="38" t="s">
        <v>103</v>
      </c>
      <c r="D69" s="39"/>
      <c r="F69" s="39"/>
      <c r="H69" s="39"/>
      <c r="J69" s="39"/>
      <c r="L69" s="39"/>
      <c r="N69" s="39"/>
      <c r="P69" s="39"/>
      <c r="S69" s="38">
        <v>3.0615000000000001</v>
      </c>
      <c r="T69" s="38">
        <v>2.6158000000000001</v>
      </c>
      <c r="U69" s="38">
        <v>2.5855999999999999</v>
      </c>
      <c r="V69" s="38">
        <v>2.4986999999999999</v>
      </c>
      <c r="W69" s="38">
        <v>1.7</v>
      </c>
      <c r="X69" s="38">
        <v>0.60350000000000004</v>
      </c>
      <c r="Y69" s="38">
        <v>3.5316000000000001</v>
      </c>
      <c r="Z69" s="38">
        <v>2.4632000000000001</v>
      </c>
      <c r="AA69" s="60"/>
      <c r="AB69" s="61"/>
      <c r="AC69" s="61"/>
      <c r="AD69" s="61"/>
      <c r="AE69" s="61"/>
      <c r="AF69" s="61"/>
      <c r="AG69" s="61"/>
      <c r="AH69" s="61"/>
      <c r="AI69" s="61"/>
    </row>
    <row r="70" spans="1:35" x14ac:dyDescent="0.2">
      <c r="B70" s="1" t="s">
        <v>5</v>
      </c>
      <c r="S70" s="17">
        <f t="shared" ref="S70:V70" si="61">S69*S14</f>
        <v>604.34010000000001</v>
      </c>
      <c r="T70" s="17">
        <f t="shared" si="61"/>
        <v>513.48154000000011</v>
      </c>
      <c r="U70" s="17">
        <f t="shared" si="61"/>
        <v>509.62175999999994</v>
      </c>
      <c r="V70" s="17">
        <f t="shared" si="61"/>
        <v>496.24181999999996</v>
      </c>
      <c r="W70" s="17">
        <f t="shared" ref="W70:X70" si="62">W69*W14</f>
        <v>338.46999999999997</v>
      </c>
      <c r="X70" s="17">
        <f t="shared" si="62"/>
        <v>120.15685000000001</v>
      </c>
      <c r="Y70" s="17">
        <f>Y69*Y14</f>
        <v>703.14156000000003</v>
      </c>
      <c r="Z70" s="17">
        <f>Z69*Z14</f>
        <v>506.68023999999997</v>
      </c>
    </row>
    <row r="71" spans="1:35" x14ac:dyDescent="0.2">
      <c r="B71" s="1" t="s">
        <v>9</v>
      </c>
      <c r="S71" s="17">
        <f t="shared" ref="S71:V71" si="63">S70-S65</f>
        <v>662.34010000000001</v>
      </c>
      <c r="T71" s="17">
        <f t="shared" si="63"/>
        <v>557.18154000000015</v>
      </c>
      <c r="U71" s="17">
        <f t="shared" si="63"/>
        <v>591.82175999999993</v>
      </c>
      <c r="V71" s="17">
        <f t="shared" si="63"/>
        <v>589.14181999999994</v>
      </c>
      <c r="W71" s="17">
        <f>W70-W65</f>
        <v>418.46999999999997</v>
      </c>
      <c r="X71" s="17">
        <f>X70-X65</f>
        <v>176.35685000000001</v>
      </c>
      <c r="Y71" s="17">
        <f>Y70-Y65</f>
        <v>641.84156000000007</v>
      </c>
      <c r="Z71" s="17">
        <f>Z70-Z65</f>
        <v>456.88023999999996</v>
      </c>
    </row>
    <row r="73" spans="1:35" x14ac:dyDescent="0.2">
      <c r="A73" s="71">
        <f>AVERAGE(S73:Z73)</f>
        <v>1.1368672669892439</v>
      </c>
      <c r="B73" s="1" t="s">
        <v>21</v>
      </c>
      <c r="S73" s="41">
        <f t="shared" ref="S73:V73" si="64">S69/S61</f>
        <v>1.6435683981506666</v>
      </c>
      <c r="T73" s="41">
        <f t="shared" si="64"/>
        <v>1.2666046867291563</v>
      </c>
      <c r="U73" s="41">
        <f t="shared" si="64"/>
        <v>1.2506055460122694</v>
      </c>
      <c r="V73" s="41">
        <f t="shared" si="64"/>
        <v>1.1762072054989334</v>
      </c>
      <c r="W73" s="41">
        <f t="shared" ref="W73:Y73" si="65">W69/W61</f>
        <v>0.82694844857073058</v>
      </c>
      <c r="X73" s="41">
        <f t="shared" si="65"/>
        <v>0.32847689994532514</v>
      </c>
      <c r="Y73" s="41">
        <f t="shared" si="65"/>
        <v>1.682962087123024</v>
      </c>
      <c r="Z73" s="41">
        <f>Z69/Z61</f>
        <v>0.91956486388384751</v>
      </c>
    </row>
    <row r="74" spans="1:35" s="41" customFormat="1" x14ac:dyDescent="0.2">
      <c r="A74" s="71">
        <f t="shared" ref="A74:A77" si="66">AVERAGE(S74:Z74)</f>
        <v>0.41374638068405767</v>
      </c>
      <c r="B74" s="41" t="s">
        <v>22</v>
      </c>
      <c r="D74" s="42"/>
      <c r="F74" s="42"/>
      <c r="H74" s="42"/>
      <c r="J74" s="42"/>
      <c r="L74" s="42"/>
      <c r="N74" s="42"/>
      <c r="P74" s="42"/>
      <c r="S74" s="41">
        <f t="shared" ref="S74:V74" si="67">S70/S4</f>
        <v>0.58937009947337615</v>
      </c>
      <c r="T74" s="41">
        <f t="shared" si="67"/>
        <v>0.50267404796867365</v>
      </c>
      <c r="U74" s="41">
        <f t="shared" si="67"/>
        <v>0.46540799999999993</v>
      </c>
      <c r="V74" s="41">
        <f t="shared" si="67"/>
        <v>0.43717894458638007</v>
      </c>
      <c r="W74" s="41">
        <f t="shared" ref="W74:Y74" si="68">W70/W4</f>
        <v>0.29726857544352714</v>
      </c>
      <c r="X74" s="41">
        <f t="shared" si="68"/>
        <v>0.10402289845035063</v>
      </c>
      <c r="Y74" s="41">
        <f t="shared" si="68"/>
        <v>0.54410087440996679</v>
      </c>
      <c r="Z74" s="41">
        <f>Z70/Z4</f>
        <v>0.36994760514018693</v>
      </c>
      <c r="AA74" s="62"/>
      <c r="AB74" s="63"/>
      <c r="AC74" s="63"/>
      <c r="AD74" s="63"/>
      <c r="AE74" s="63"/>
      <c r="AF74" s="63"/>
      <c r="AG74" s="63"/>
      <c r="AH74" s="63"/>
      <c r="AI74" s="63"/>
    </row>
    <row r="75" spans="1:35" s="41" customFormat="1" x14ac:dyDescent="0.2">
      <c r="A75" s="71">
        <f t="shared" si="66"/>
        <v>0.45016822490598901</v>
      </c>
      <c r="B75" s="41" t="s">
        <v>25</v>
      </c>
      <c r="D75" s="42"/>
      <c r="F75" s="42"/>
      <c r="H75" s="42"/>
      <c r="J75" s="42"/>
      <c r="L75" s="42"/>
      <c r="N75" s="42"/>
      <c r="P75" s="42"/>
      <c r="S75" s="41">
        <f t="shared" ref="S75:V75" si="69">S71/S4</f>
        <v>0.64593339184708398</v>
      </c>
      <c r="T75" s="41">
        <f t="shared" si="69"/>
        <v>0.54545427312775341</v>
      </c>
      <c r="U75" s="41">
        <f t="shared" si="69"/>
        <v>0.54047649315068491</v>
      </c>
      <c r="V75" s="41">
        <f t="shared" si="69"/>
        <v>0.51902195401286233</v>
      </c>
      <c r="W75" s="41">
        <f t="shared" ref="W75:Y75" si="70">W71/W4</f>
        <v>0.36753030036887407</v>
      </c>
      <c r="X75" s="41">
        <f t="shared" si="70"/>
        <v>0.15267669465847114</v>
      </c>
      <c r="Y75" s="41">
        <f t="shared" si="70"/>
        <v>0.49666606825040632</v>
      </c>
      <c r="Z75" s="41">
        <f>Z71/Z4</f>
        <v>0.33358662383177567</v>
      </c>
      <c r="AA75" s="62"/>
      <c r="AB75" s="63"/>
      <c r="AC75" s="63"/>
      <c r="AD75" s="63"/>
      <c r="AE75" s="63"/>
      <c r="AF75" s="63"/>
      <c r="AG75" s="63"/>
      <c r="AH75" s="63"/>
      <c r="AI75" s="63"/>
    </row>
    <row r="76" spans="1:35" s="41" customFormat="1" x14ac:dyDescent="0.2">
      <c r="A76" s="71">
        <f t="shared" si="66"/>
        <v>8.7576011619956287</v>
      </c>
      <c r="B76" s="41" t="s">
        <v>23</v>
      </c>
      <c r="D76" s="42"/>
      <c r="F76" s="42"/>
      <c r="H76" s="42"/>
      <c r="J76" s="42"/>
      <c r="L76" s="42"/>
      <c r="N76" s="42"/>
      <c r="P76" s="42"/>
      <c r="S76" s="41">
        <f t="shared" ref="S76:V76" si="71">S69/S13</f>
        <v>9.184499999999991</v>
      </c>
      <c r="T76" s="41">
        <f t="shared" si="71"/>
        <v>8.0863234645669291</v>
      </c>
      <c r="U76" s="41">
        <f t="shared" si="71"/>
        <v>9.0358468085106303</v>
      </c>
      <c r="V76" s="41">
        <f t="shared" si="71"/>
        <v>9.072062522851926</v>
      </c>
      <c r="W76" s="41">
        <f t="shared" ref="W76:Y76" si="72">W69/W13</f>
        <v>8.0780429594272327</v>
      </c>
      <c r="X76" s="41">
        <f t="shared" si="72"/>
        <v>6.8661057142857596</v>
      </c>
      <c r="Y76" s="41">
        <f t="shared" si="72"/>
        <v>13.216946616541351</v>
      </c>
      <c r="Z76" s="41">
        <f>Z69/Z13</f>
        <v>6.520981209781211</v>
      </c>
      <c r="AA76" s="62"/>
      <c r="AB76" s="63"/>
      <c r="AC76" s="63"/>
      <c r="AD76" s="63"/>
      <c r="AE76" s="63"/>
      <c r="AF76" s="63"/>
      <c r="AG76" s="63"/>
      <c r="AH76" s="63"/>
      <c r="AI76" s="63"/>
    </row>
    <row r="77" spans="1:35" s="41" customFormat="1" x14ac:dyDescent="0.2">
      <c r="A77" s="71">
        <f t="shared" si="66"/>
        <v>9.7642266095637211</v>
      </c>
      <c r="B77" s="41" t="s">
        <v>24</v>
      </c>
      <c r="D77" s="42"/>
      <c r="F77" s="42"/>
      <c r="H77" s="42"/>
      <c r="J77" s="42"/>
      <c r="L77" s="42"/>
      <c r="N77" s="42"/>
      <c r="P77" s="42"/>
      <c r="S77" s="41">
        <f t="shared" ref="S77:V77" si="73">S71/S12</f>
        <v>10.06595896656534</v>
      </c>
      <c r="T77" s="41">
        <f t="shared" si="73"/>
        <v>8.774512440944882</v>
      </c>
      <c r="U77" s="41">
        <f t="shared" si="73"/>
        <v>10.493293617021266</v>
      </c>
      <c r="V77" s="41">
        <f t="shared" si="73"/>
        <v>10.770417184643518</v>
      </c>
      <c r="W77" s="41">
        <f t="shared" ref="W77:Y77" si="74">W71/W12</f>
        <v>9.9873508353222267</v>
      </c>
      <c r="X77" s="41">
        <f t="shared" si="74"/>
        <v>10.077534285714352</v>
      </c>
      <c r="Y77" s="41">
        <f t="shared" si="74"/>
        <v>12.064690977443609</v>
      </c>
      <c r="Z77" s="41">
        <f>Z71/Z12</f>
        <v>5.8800545688545691</v>
      </c>
      <c r="AA77" s="62"/>
      <c r="AB77" s="63"/>
      <c r="AC77" s="63"/>
      <c r="AD77" s="63"/>
      <c r="AE77" s="63"/>
      <c r="AF77" s="63"/>
      <c r="AG77" s="63"/>
      <c r="AH77" s="63"/>
      <c r="AI77" s="63"/>
    </row>
    <row r="80" spans="1:35" x14ac:dyDescent="0.2">
      <c r="B80" s="30" t="s">
        <v>107</v>
      </c>
    </row>
  </sheetData>
  <phoneticPr fontId="5" type="noConversion"/>
  <hyperlinks>
    <hyperlink ref="Z1" r:id="rId1" xr:uid="{596F9973-92FB-3340-BC7A-375E4C25351C}"/>
    <hyperlink ref="X1" r:id="rId2" xr:uid="{92846B6F-2839-284E-AA85-90B408C1E203}"/>
    <hyperlink ref="V1" r:id="rId3" xr:uid="{13285A00-2106-4F98-B9F0-34A6A260A094}"/>
    <hyperlink ref="T1" r:id="rId4" xr:uid="{769CF0C5-F50D-4DA3-90F8-F8D13713771E}"/>
  </hyperlinks>
  <pageMargins left="0.7" right="0.7" top="0.75" bottom="0.75" header="0.3" footer="0.3"/>
  <ignoredErrors>
    <ignoredError sqref="X9 AA7 AA11 AA9 AB11:AI11 AB9:AI9 AB7:AC7 AD7:AI7" formula="1"/>
  </ignoredError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2023-04-16T19:38:52Z</dcterms:created>
  <dcterms:modified xsi:type="dcterms:W3CDTF">2023-09-05T13:20:30Z</dcterms:modified>
</cp:coreProperties>
</file>