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AC38EFF5-D298-4130-902A-83D433AA144A}" xr6:coauthVersionLast="47" xr6:coauthVersionMax="47" xr10:uidLastSave="{00000000-0000-0000-0000-000000000000}"/>
  <bookViews>
    <workbookView xWindow="0" yWindow="1860" windowWidth="26610" windowHeight="12885" xr2:uid="{7262DCEC-3A26-4705-BC25-0BF37D9C2A8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1" i="2" l="1"/>
  <c r="T81" i="2"/>
  <c r="A16" i="1"/>
  <c r="S29" i="2" l="1"/>
  <c r="S28" i="2"/>
  <c r="T29" i="2"/>
  <c r="T28" i="2"/>
  <c r="C28" i="1"/>
  <c r="S54" i="2"/>
  <c r="S77" i="2"/>
  <c r="R77" i="2"/>
  <c r="S76" i="2"/>
  <c r="R76" i="2"/>
  <c r="T77" i="2"/>
  <c r="C10" i="1" s="1"/>
  <c r="T76" i="2"/>
  <c r="T54" i="2"/>
  <c r="S63" i="2"/>
  <c r="S68" i="2" s="1"/>
  <c r="S71" i="2" s="1"/>
  <c r="R63" i="2"/>
  <c r="R68" i="2" s="1"/>
  <c r="T63" i="2"/>
  <c r="T68" i="2" s="1"/>
  <c r="T71" i="2" s="1"/>
  <c r="S51" i="2"/>
  <c r="R51" i="2"/>
  <c r="R57" i="2" s="1"/>
  <c r="T51" i="2"/>
  <c r="C7" i="1"/>
  <c r="S6" i="2"/>
  <c r="S8" i="2" s="1"/>
  <c r="S13" i="2" s="1"/>
  <c r="S16" i="2" s="1"/>
  <c r="S18" i="2" s="1"/>
  <c r="R6" i="2"/>
  <c r="R8" i="2" s="1"/>
  <c r="R13" i="2" s="1"/>
  <c r="R16" i="2" s="1"/>
  <c r="R18" i="2" s="1"/>
  <c r="R19" i="2" s="1"/>
  <c r="T6" i="2"/>
  <c r="T8" i="2" s="1"/>
  <c r="T13" i="2" s="1"/>
  <c r="T16" i="2" s="1"/>
  <c r="T18" i="2" s="1"/>
  <c r="S43" i="2"/>
  <c r="T43" i="2"/>
  <c r="S36" i="2"/>
  <c r="R36" i="2"/>
  <c r="T36" i="2"/>
  <c r="T19" i="2" l="1"/>
  <c r="C38" i="1" s="1"/>
  <c r="T87" i="2"/>
  <c r="S85" i="2"/>
  <c r="T85" i="2"/>
  <c r="S19" i="2"/>
  <c r="S87" i="2"/>
  <c r="R78" i="2"/>
  <c r="T78" i="2"/>
  <c r="T82" i="2" s="1"/>
  <c r="T38" i="2"/>
  <c r="S23" i="2"/>
  <c r="T23" i="2"/>
  <c r="C27" i="1"/>
  <c r="C9" i="1"/>
  <c r="C11" i="1" s="1"/>
  <c r="R24" i="2"/>
  <c r="S24" i="2"/>
  <c r="R25" i="2"/>
  <c r="T22" i="2"/>
  <c r="T24" i="2"/>
  <c r="T25" i="2"/>
  <c r="R22" i="2"/>
  <c r="S22" i="2"/>
  <c r="R23" i="2"/>
  <c r="S25" i="2"/>
  <c r="S78" i="2"/>
  <c r="S82" i="2" s="1"/>
  <c r="S57" i="2"/>
  <c r="S73" i="2" s="1"/>
  <c r="S74" i="2" s="1"/>
  <c r="S84" i="2" s="1"/>
  <c r="T57" i="2"/>
  <c r="T73" i="2" s="1"/>
  <c r="T74" i="2" s="1"/>
  <c r="S38" i="2"/>
  <c r="T27" i="2"/>
  <c r="S27" i="2"/>
  <c r="C8" i="1"/>
  <c r="S86" i="2" l="1"/>
  <c r="S88" i="2"/>
  <c r="C35" i="1"/>
  <c r="T84" i="2"/>
  <c r="T88" i="2"/>
  <c r="T86" i="2"/>
  <c r="C12" i="1"/>
  <c r="C36" i="1"/>
  <c r="C39" i="1" l="1"/>
  <c r="C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B12" authorId="0" shapeId="0" xr:uid="{4FA9915A-5829-4ACE-B358-62D096A0277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Need to think about EBITDA</t>
        </r>
      </text>
    </comment>
  </commentList>
</comments>
</file>

<file path=xl/sharedStrings.xml><?xml version="1.0" encoding="utf-8"?>
<sst xmlns="http://schemas.openxmlformats.org/spreadsheetml/2006/main" count="186" uniqueCount="151">
  <si>
    <t>$BMBL</t>
  </si>
  <si>
    <t>Bumble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</si>
  <si>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</si>
  <si>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</si>
  <si>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</si>
  <si>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</si>
  <si>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</si>
  <si>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</si>
  <si>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</si>
  <si>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</si>
  <si>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</si>
  <si>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</si>
  <si>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</si>
  <si>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</si>
  <si>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</si>
  <si>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</si>
  <si>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</si>
  <si>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</si>
  <si>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ARPU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</si>
  <si>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</si>
  <si>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</si>
  <si>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</si>
  <si>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</si>
  <si>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</si>
  <si>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</si>
  <si>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</si>
  <si>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</si>
  <si>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</si>
  <si>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Austin, TX</t>
  </si>
  <si>
    <t>Revenue</t>
  </si>
  <si>
    <t>COGS</t>
  </si>
  <si>
    <t>Gross Profit</t>
  </si>
  <si>
    <t>Q423</t>
  </si>
  <si>
    <t>Q323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</si>
  <si>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</si>
  <si>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</si>
  <si>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</si>
  <si>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</si>
  <si>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</si>
  <si>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</si>
  <si>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</si>
  <si>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</si>
  <si>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</si>
  <si>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</si>
  <si>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</si>
  <si>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</si>
  <si>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</si>
  <si>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</si>
  <si>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</si>
  <si>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</si>
  <si>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</si>
  <si>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</si>
  <si>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</si>
  <si>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</si>
  <si>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</si>
  <si>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</si>
  <si>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Bumble</t>
  </si>
  <si>
    <t>Badoo</t>
  </si>
  <si>
    <t>Non-Finance Metrics</t>
  </si>
  <si>
    <t>Bumble App Paying Users</t>
  </si>
  <si>
    <t>Badoo App &amp; Other Paying Users</t>
  </si>
  <si>
    <t>Paying Users</t>
  </si>
  <si>
    <t>Bumble App ARPU</t>
  </si>
  <si>
    <t>Badoo App ARPU</t>
  </si>
  <si>
    <t>-</t>
  </si>
  <si>
    <t>Paying Users Q/Q</t>
  </si>
  <si>
    <t>Paying Users Y/Y</t>
  </si>
  <si>
    <t>ARPU Q/Q</t>
  </si>
  <si>
    <t>ARPU Y/Y</t>
  </si>
  <si>
    <t>S&amp;M</t>
  </si>
  <si>
    <t>G&amp;A</t>
  </si>
  <si>
    <t>Product Development</t>
  </si>
  <si>
    <t>D&amp;A</t>
  </si>
  <si>
    <t>Operating Income</t>
  </si>
  <si>
    <t>Interest Income</t>
  </si>
  <si>
    <t>Other Income</t>
  </si>
  <si>
    <t>Pretax Income</t>
  </si>
  <si>
    <t>Taxes</t>
  </si>
  <si>
    <t>Net Income</t>
  </si>
  <si>
    <t>EPS</t>
  </si>
  <si>
    <t>Bumble App</t>
  </si>
  <si>
    <t>Badoo App &amp; Other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</si>
  <si>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</si>
  <si>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</si>
  <si>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</si>
  <si>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</si>
  <si>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</si>
  <si>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</si>
  <si>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</si>
  <si>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A/R</t>
  </si>
  <si>
    <t>OCA</t>
  </si>
  <si>
    <t>TCA</t>
  </si>
  <si>
    <t>ROU</t>
  </si>
  <si>
    <t>PP&amp;E</t>
  </si>
  <si>
    <t>Goodwill+Intangibles</t>
  </si>
  <si>
    <t>Deferred Taxes</t>
  </si>
  <si>
    <t>Other NCA</t>
  </si>
  <si>
    <t>Assets</t>
  </si>
  <si>
    <t>A/P</t>
  </si>
  <si>
    <t>Deferred Revenue</t>
  </si>
  <si>
    <t>Accrued Expenses &amp; OCL</t>
  </si>
  <si>
    <t>Current portion of Long-Term Debt</t>
  </si>
  <si>
    <t>TCL</t>
  </si>
  <si>
    <t>Long-Term Debt</t>
  </si>
  <si>
    <t>Tax Payables</t>
  </si>
  <si>
    <t>Other LTL</t>
  </si>
  <si>
    <t>Liabilities</t>
  </si>
  <si>
    <t>S/E</t>
  </si>
  <si>
    <t>S/E+L</t>
  </si>
  <si>
    <t>Book Value</t>
  </si>
  <si>
    <t>Book Value per Share</t>
  </si>
  <si>
    <t>Share Price</t>
  </si>
  <si>
    <t>Members</t>
  </si>
  <si>
    <t>Link</t>
  </si>
  <si>
    <t>Bumble App Revenue Y/Y</t>
  </si>
  <si>
    <t>Badoo App Revenue Y/Y</t>
  </si>
  <si>
    <t>Employees</t>
  </si>
  <si>
    <t>Apps</t>
  </si>
  <si>
    <t>Bumble for Friends</t>
  </si>
  <si>
    <t xml:space="preserve">Official </t>
  </si>
  <si>
    <t>Brands/Products</t>
  </si>
  <si>
    <t>Market leader in LATAM &amp; Europe</t>
  </si>
  <si>
    <t>Acquired Fruitz an "intentions-driven dating app focused on GenZ" operating in EMEA</t>
  </si>
  <si>
    <t>and Canada</t>
  </si>
  <si>
    <t>Acquired Official an app intended to help couples build habbits for their relationship</t>
  </si>
  <si>
    <t>Acq. 2022</t>
  </si>
  <si>
    <t>Acq. 2023</t>
  </si>
  <si>
    <t>What even is this? 'build habbits'???</t>
  </si>
  <si>
    <t>Gen-Z target for intenions driven dating</t>
  </si>
  <si>
    <t>Who is using this? Age group? Is it app or website?</t>
  </si>
  <si>
    <t>Whitney Herd</t>
  </si>
  <si>
    <t>Anuradha Subramian</t>
  </si>
  <si>
    <t>Antoine Leblond</t>
  </si>
  <si>
    <t>Exec.</t>
  </si>
  <si>
    <t>Ms. Lidiane Jones</t>
  </si>
  <si>
    <t>Standalone 'Bumble for Friends' app launched for platonic relationships (spin-off)</t>
  </si>
  <si>
    <t>Subscriptions</t>
  </si>
  <si>
    <t>Boost</t>
  </si>
  <si>
    <t>Premium</t>
  </si>
  <si>
    <t>SuperSwipe</t>
  </si>
  <si>
    <t>Spotlight</t>
  </si>
  <si>
    <t>Premium Plus</t>
  </si>
  <si>
    <t>Badoo Credits</t>
  </si>
  <si>
    <t>Fruitz</t>
  </si>
  <si>
    <t>Fruitz Premium</t>
  </si>
  <si>
    <t>Fruitz Golden</t>
  </si>
  <si>
    <t>Official</t>
  </si>
  <si>
    <t>How many users? Any premium tiers??</t>
  </si>
  <si>
    <t>Since Feb-2024</t>
  </si>
  <si>
    <t>Since Jan-2024</t>
  </si>
  <si>
    <t>Founder, CoFound Tinder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</si>
</sst>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yy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4"/>
      <name val="Arial"/>
      <family val="2"/>
    </font>
    <font>
      <i/>
      <sz val="10"/>
      <color theme="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4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 indent="1"/>
    </xf>
    <xf numFmtId="0" fontId="9" fillId="0" borderId="0" xfId="0" applyFont="1"/>
    <xf numFmtId="164" fontId="9" fillId="0" borderId="0" xfId="0" applyNumberFormat="1" applyFont="1"/>
    <xf numFmtId="164" fontId="2" fillId="0" borderId="0" xfId="0" applyNumberFormat="1" applyFont="1"/>
    <xf numFmtId="4" fontId="9" fillId="0" borderId="0" xfId="0" applyNumberFormat="1" applyFont="1"/>
    <xf numFmtId="4" fontId="2" fillId="0" borderId="0" xfId="0" applyNumberFormat="1" applyFont="1"/>
    <xf numFmtId="0" fontId="10" fillId="0" borderId="0" xfId="0" applyFont="1"/>
    <xf numFmtId="9" fontId="10" fillId="0" borderId="0" xfId="0" applyNumberFormat="1" applyFont="1"/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9" fontId="10" fillId="0" borderId="0" xfId="0" applyNumberFormat="1" applyFont="1" applyAlignment="1">
      <alignment horizontal="left" indent="1"/>
    </xf>
    <xf numFmtId="0" fontId="10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left" indent="1"/>
    </xf>
    <xf numFmtId="3" fontId="1" fillId="0" borderId="0" xfId="0" applyNumberFormat="1" applyFont="1"/>
    <xf numFmtId="9" fontId="2" fillId="0" borderId="0" xfId="0" applyNumberFormat="1" applyFont="1"/>
    <xf numFmtId="165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9" fillId="0" borderId="0" xfId="0" applyNumberFormat="1" applyFont="1" applyAlignment="1">
      <alignment horizontal="left" indent="1"/>
    </xf>
    <xf numFmtId="9" fontId="9" fillId="0" borderId="0" xfId="0" applyNumberFormat="1" applyFont="1"/>
    <xf numFmtId="0" fontId="1" fillId="4" borderId="4" xfId="0" applyFont="1" applyFill="1" applyBorder="1"/>
    <xf numFmtId="0" fontId="1" fillId="4" borderId="6" xfId="0" applyFont="1" applyFill="1" applyBorder="1"/>
    <xf numFmtId="0" fontId="2" fillId="4" borderId="4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indent="1"/>
    </xf>
    <xf numFmtId="0" fontId="11" fillId="0" borderId="0" xfId="0" applyFont="1"/>
    <xf numFmtId="0" fontId="1" fillId="4" borderId="4" xfId="0" applyFont="1" applyFill="1" applyBorder="1" applyAlignment="1">
      <alignment horizontal="left" indent="1"/>
    </xf>
    <xf numFmtId="0" fontId="1" fillId="4" borderId="6" xfId="0" applyFont="1" applyFill="1" applyBorder="1" applyAlignment="1">
      <alignment horizontal="left" indent="1"/>
    </xf>
    <xf numFmtId="167" fontId="1" fillId="0" borderId="0" xfId="0" applyNumberFormat="1" applyFont="1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" fontId="1" fillId="4" borderId="0" xfId="0" applyNumberFormat="1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4" borderId="5" xfId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400051</xdr:colOff>
      <xdr:row>0</xdr:row>
      <xdr:rowOff>114301</xdr:rowOff>
    </xdr:from>
    <xdr:to>
      <xdr:col>5</xdr:col>
      <xdr:colOff>472756</xdr:colOff>
      <xdr:row>2</xdr:row>
      <xdr:rowOff>114301</xdr:rowOff>
    </xdr:to>
    <xdr:pic>
      <xdr:nvPicPr>
        <xdr:cNvPr id="4" name="Picture 3" descr="File:Bumble logo with wordmark.svg - Wikipedia">
          <a:extLst>
            <a:ext uri="{FF2B5EF4-FFF2-40B4-BE49-F238E27FC236}">
              <a16:creationId xmlns:a16="http://schemas.microsoft.com/office/drawing/2014/main" id="{81BAED63-178E-4FA2-A0D6-44FCE7D59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1" y="114301"/>
          <a:ext cx="190150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9525</xdr:rowOff>
    </xdr:from>
    <xdr:to>
      <xdr:col>20</xdr:col>
      <xdr:colOff>9525</xdr:colOff>
      <xdr:row>89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C6B2F2B-FF9C-4834-8353-E5D511CB10FC}"/>
            </a:ext>
          </a:extLst>
        </xdr:cNvPr>
        <xdr:cNvCxnSpPr/>
      </xdr:nvCxnSpPr>
      <xdr:spPr>
        <a:xfrm>
          <a:off x="15182850" y="9525"/>
          <a:ext cx="0" cy="14449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Whitney_Wolfe_Herd" TargetMode="External"/><Relationship Id="rId2" Type="http://schemas.openxmlformats.org/officeDocument/2006/relationships/hyperlink" Target="https://en.wikipedia.org/wiki/Lidiane_Jones" TargetMode="External"/><Relationship Id="rId1" Type="http://schemas.openxmlformats.org/officeDocument/2006/relationships/hyperlink" Target="https://ir.bumble.com/financials/quarterly-results/default.asp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nkedin.com/in/antoine-leblond-b433b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s202.q4cdn.com/372973788/files/doc_financials/2023/q4/cfb37770-6f84-4e85-a74c-95e8e32d3871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616B-CBD7-4621-AF07-2BBDAE047A83}">
  <dimension ref="A2:V39"/>
  <sheetViews>
    <sheetView tabSelected="1" workbookViewId="0">
      <selection activeCell="E5" sqref="E5"/>
    </sheetView>
  </sheetViews>
  <sheetFormatPr defaultRowHeight="12.75" x14ac:dyDescent="0.2"/>
  <cols>
    <col min="1" max="1" width="9.140625" style="1" customWidth="1"/>
    <col min="2" max="16384" width="9.140625" style="1"/>
  </cols>
  <sheetData>
    <row r="2" spans="1:22" x14ac:dyDescent="0.2">
      <c r="B2" s="2" t="s">
        <v>0</v>
      </c>
    </row>
    <row r="3" spans="1:22" x14ac:dyDescent="0.2">
      <c r="B3" s="2" t="s">
        <v>1</v>
      </c>
    </row>
    <row r="5" spans="1:22" x14ac:dyDescent="0.2">
      <c r="B5" s="58" t="s">
        <v>2</v>
      </c>
      <c r="C5" s="65"/>
      <c r="D5" s="59"/>
      <c r="G5" s="58" t="s">
        <v>27</v>
      </c>
      <c r="H5" s="65"/>
      <c r="I5" s="65"/>
      <c r="J5" s="65"/>
      <c r="K5" s="65"/>
      <c r="L5" s="65"/>
      <c r="M5" s="65"/>
      <c r="N5" s="65"/>
      <c r="O5" s="59"/>
      <c r="T5" s="58" t="s">
        <v>120</v>
      </c>
      <c r="U5" s="59"/>
    </row>
    <row r="6" spans="1:22" x14ac:dyDescent="0.2">
      <c r="B6" s="3" t="s">
        <v>3</v>
      </c>
      <c r="C6" s="18">
        <v>10.68</v>
      </c>
      <c r="D6" s="5"/>
      <c r="G6" s="12"/>
      <c r="H6" s="14"/>
      <c r="I6" s="14"/>
      <c r="J6" s="14"/>
      <c r="K6" s="14"/>
      <c r="L6" s="14"/>
      <c r="M6" s="14"/>
      <c r="N6" s="14"/>
      <c r="O6" s="15"/>
      <c r="S6" s="28">
        <v>2014</v>
      </c>
      <c r="T6" s="48" t="s">
        <v>56</v>
      </c>
      <c r="U6" s="15"/>
    </row>
    <row r="7" spans="1:22" x14ac:dyDescent="0.2">
      <c r="B7" s="3" t="s">
        <v>4</v>
      </c>
      <c r="C7" s="8">
        <f>+'Financial Model'!T20</f>
        <v>134.936824</v>
      </c>
      <c r="D7" s="6" t="s">
        <v>32</v>
      </c>
      <c r="G7" s="51">
        <v>45108</v>
      </c>
      <c r="H7" s="14" t="s">
        <v>135</v>
      </c>
      <c r="I7" s="14"/>
      <c r="J7" s="14"/>
      <c r="K7" s="14"/>
      <c r="L7" s="14"/>
      <c r="M7" s="14"/>
      <c r="N7" s="14"/>
      <c r="O7" s="15"/>
      <c r="S7" s="28">
        <v>2006</v>
      </c>
      <c r="T7" s="48" t="s">
        <v>57</v>
      </c>
      <c r="U7" s="15"/>
      <c r="V7" s="28" t="s">
        <v>121</v>
      </c>
    </row>
    <row r="8" spans="1:22" x14ac:dyDescent="0.2">
      <c r="B8" s="3" t="s">
        <v>5</v>
      </c>
      <c r="C8" s="8">
        <f>C6*C7</f>
        <v>1441.12528032</v>
      </c>
      <c r="D8" s="6"/>
      <c r="G8" s="12"/>
      <c r="H8" s="14"/>
      <c r="I8" s="14"/>
      <c r="J8" s="14"/>
      <c r="K8" s="14"/>
      <c r="L8" s="14"/>
      <c r="M8" s="14"/>
      <c r="N8" s="14"/>
      <c r="O8" s="15"/>
      <c r="T8" s="48"/>
      <c r="U8" s="15"/>
    </row>
    <row r="9" spans="1:22" x14ac:dyDescent="0.2">
      <c r="B9" s="3" t="s">
        <v>6</v>
      </c>
      <c r="C9" s="8">
        <f>+'Financial Model'!T76</f>
        <v>355.642</v>
      </c>
      <c r="D9" s="6" t="s">
        <v>32</v>
      </c>
      <c r="G9" s="12"/>
      <c r="H9" s="14"/>
      <c r="I9" s="14"/>
      <c r="J9" s="14"/>
      <c r="K9" s="14"/>
      <c r="L9" s="14"/>
      <c r="M9" s="14"/>
      <c r="N9" s="14"/>
      <c r="O9" s="15"/>
      <c r="T9" s="50" t="s">
        <v>117</v>
      </c>
      <c r="U9" s="15"/>
    </row>
    <row r="10" spans="1:22" x14ac:dyDescent="0.2">
      <c r="B10" s="3" t="s">
        <v>7</v>
      </c>
      <c r="C10" s="8">
        <f>+'Financial Model'!T77</f>
        <v>620.92600000000004</v>
      </c>
      <c r="D10" s="6" t="s">
        <v>32</v>
      </c>
      <c r="G10" s="51">
        <v>45017</v>
      </c>
      <c r="H10" s="14" t="s">
        <v>124</v>
      </c>
      <c r="I10" s="14"/>
      <c r="J10" s="14"/>
      <c r="K10" s="14"/>
      <c r="L10" s="14"/>
      <c r="M10" s="14"/>
      <c r="N10" s="14"/>
      <c r="O10" s="15"/>
      <c r="S10" s="28">
        <v>2014</v>
      </c>
      <c r="T10" s="48" t="s">
        <v>56</v>
      </c>
      <c r="U10" s="15"/>
    </row>
    <row r="11" spans="1:22" x14ac:dyDescent="0.2">
      <c r="B11" s="3" t="s">
        <v>8</v>
      </c>
      <c r="C11" s="8">
        <f>C9-C10</f>
        <v>-265.28400000000005</v>
      </c>
      <c r="D11" s="6" t="s">
        <v>32</v>
      </c>
      <c r="G11" s="12"/>
      <c r="H11" s="14"/>
      <c r="I11" s="14"/>
      <c r="J11" s="14"/>
      <c r="K11" s="14"/>
      <c r="L11" s="14"/>
      <c r="M11" s="14"/>
      <c r="N11" s="14"/>
      <c r="O11" s="15"/>
      <c r="S11" s="28">
        <v>2023</v>
      </c>
      <c r="T11" s="48" t="s">
        <v>118</v>
      </c>
      <c r="U11" s="15"/>
      <c r="V11" s="53" t="s">
        <v>147</v>
      </c>
    </row>
    <row r="12" spans="1:22" x14ac:dyDescent="0.2">
      <c r="B12" s="4" t="s">
        <v>9</v>
      </c>
      <c r="C12" s="9">
        <f>C8-C11</f>
        <v>1706.4092803200001</v>
      </c>
      <c r="D12" s="7"/>
      <c r="G12" s="12"/>
      <c r="H12" s="14"/>
      <c r="I12" s="14"/>
      <c r="J12" s="14"/>
      <c r="K12" s="14"/>
      <c r="L12" s="14"/>
      <c r="M12" s="14"/>
      <c r="N12" s="14"/>
      <c r="O12" s="15"/>
      <c r="S12" s="28">
        <v>2006</v>
      </c>
      <c r="T12" s="48" t="s">
        <v>57</v>
      </c>
      <c r="U12" s="15"/>
      <c r="V12" s="53" t="s">
        <v>129</v>
      </c>
    </row>
    <row r="13" spans="1:22" x14ac:dyDescent="0.2">
      <c r="G13" s="12"/>
      <c r="H13" s="14"/>
      <c r="I13" s="14"/>
      <c r="J13" s="14"/>
      <c r="K13" s="14"/>
      <c r="L13" s="14"/>
      <c r="M13" s="14"/>
      <c r="N13" s="14"/>
      <c r="O13" s="15"/>
      <c r="S13" s="28" t="s">
        <v>125</v>
      </c>
      <c r="T13" s="48" t="s">
        <v>143</v>
      </c>
      <c r="U13" s="15"/>
      <c r="V13" s="1" t="s">
        <v>128</v>
      </c>
    </row>
    <row r="14" spans="1:22" x14ac:dyDescent="0.2">
      <c r="G14" s="12"/>
      <c r="H14" s="14"/>
      <c r="I14" s="14"/>
      <c r="J14" s="14"/>
      <c r="K14" s="14"/>
      <c r="L14" s="14"/>
      <c r="M14" s="14"/>
      <c r="N14" s="14"/>
      <c r="O14" s="15"/>
      <c r="S14" s="28" t="s">
        <v>126</v>
      </c>
      <c r="T14" s="49" t="s">
        <v>119</v>
      </c>
      <c r="U14" s="17"/>
      <c r="V14" s="53" t="s">
        <v>127</v>
      </c>
    </row>
    <row r="15" spans="1:22" x14ac:dyDescent="0.2">
      <c r="B15" s="58" t="s">
        <v>10</v>
      </c>
      <c r="C15" s="65"/>
      <c r="D15" s="59"/>
      <c r="G15" s="51">
        <v>44562</v>
      </c>
      <c r="H15" s="14" t="s">
        <v>122</v>
      </c>
      <c r="I15" s="14"/>
      <c r="J15" s="14"/>
      <c r="K15" s="14"/>
      <c r="L15" s="14"/>
      <c r="M15" s="14"/>
      <c r="N15" s="14"/>
      <c r="O15" s="15"/>
    </row>
    <row r="16" spans="1:22" x14ac:dyDescent="0.2">
      <c r="A16" s="56">
        <f ca="1">TODAY()-DATE(1989, 7, 1)</f>
        <v>12671</v>
      </c>
      <c r="B16" s="10" t="s">
        <v>133</v>
      </c>
      <c r="C16" s="69" t="s">
        <v>130</v>
      </c>
      <c r="D16" s="70"/>
      <c r="E16" s="57" t="s">
        <v>150</v>
      </c>
      <c r="G16" s="12"/>
      <c r="H16" s="52" t="s">
        <v>123</v>
      </c>
      <c r="I16" s="14"/>
      <c r="J16" s="14"/>
      <c r="K16" s="14"/>
      <c r="L16" s="14"/>
      <c r="M16" s="14"/>
      <c r="N16" s="14"/>
      <c r="O16" s="15"/>
    </row>
    <row r="17" spans="2:21" x14ac:dyDescent="0.2">
      <c r="B17" s="10" t="s">
        <v>12</v>
      </c>
      <c r="C17" s="62" t="s">
        <v>131</v>
      </c>
      <c r="D17" s="61"/>
      <c r="G17" s="12"/>
      <c r="H17" s="14"/>
      <c r="I17" s="14"/>
      <c r="J17" s="14"/>
      <c r="K17" s="14"/>
      <c r="L17" s="14"/>
      <c r="M17" s="14"/>
      <c r="N17" s="14"/>
      <c r="O17" s="15"/>
      <c r="T17" s="58" t="s">
        <v>136</v>
      </c>
      <c r="U17" s="59"/>
    </row>
    <row r="18" spans="2:21" x14ac:dyDescent="0.2">
      <c r="B18" s="10" t="s">
        <v>13</v>
      </c>
      <c r="C18" s="69" t="s">
        <v>132</v>
      </c>
      <c r="D18" s="70"/>
      <c r="E18" s="1" t="s">
        <v>148</v>
      </c>
      <c r="G18" s="12"/>
      <c r="H18" s="14"/>
      <c r="I18" s="14"/>
      <c r="J18" s="14"/>
      <c r="K18" s="14"/>
      <c r="L18" s="14"/>
      <c r="M18" s="14"/>
      <c r="N18" s="14"/>
      <c r="O18" s="15"/>
      <c r="T18" s="50" t="s">
        <v>56</v>
      </c>
      <c r="U18" s="15"/>
    </row>
    <row r="19" spans="2:21" x14ac:dyDescent="0.2">
      <c r="B19" s="11" t="s">
        <v>11</v>
      </c>
      <c r="C19" s="63" t="s">
        <v>134</v>
      </c>
      <c r="D19" s="64"/>
      <c r="E19" s="1" t="s">
        <v>149</v>
      </c>
      <c r="G19" s="12"/>
      <c r="H19" s="14"/>
      <c r="I19" s="14"/>
      <c r="J19" s="14"/>
      <c r="K19" s="14"/>
      <c r="L19" s="14"/>
      <c r="M19" s="14"/>
      <c r="N19" s="14"/>
      <c r="O19" s="15"/>
      <c r="T19" s="54" t="s">
        <v>137</v>
      </c>
      <c r="U19" s="15"/>
    </row>
    <row r="20" spans="2:21" x14ac:dyDescent="0.2">
      <c r="G20" s="12"/>
      <c r="H20" s="14"/>
      <c r="I20" s="14"/>
      <c r="J20" s="14"/>
      <c r="K20" s="14"/>
      <c r="L20" s="14"/>
      <c r="M20" s="14"/>
      <c r="N20" s="14"/>
      <c r="O20" s="15"/>
      <c r="T20" s="54" t="s">
        <v>138</v>
      </c>
      <c r="U20" s="15"/>
    </row>
    <row r="21" spans="2:21" x14ac:dyDescent="0.2">
      <c r="G21" s="12"/>
      <c r="H21" s="14"/>
      <c r="I21" s="14"/>
      <c r="J21" s="14"/>
      <c r="K21" s="14"/>
      <c r="L21" s="14"/>
      <c r="M21" s="14"/>
      <c r="N21" s="14"/>
      <c r="O21" s="15"/>
      <c r="T21" s="54" t="s">
        <v>141</v>
      </c>
      <c r="U21" s="15"/>
    </row>
    <row r="22" spans="2:21" x14ac:dyDescent="0.2">
      <c r="B22" s="58" t="s">
        <v>14</v>
      </c>
      <c r="C22" s="65"/>
      <c r="D22" s="59"/>
      <c r="G22" s="13"/>
      <c r="H22" s="16"/>
      <c r="I22" s="16"/>
      <c r="J22" s="16"/>
      <c r="K22" s="16"/>
      <c r="L22" s="16"/>
      <c r="M22" s="16"/>
      <c r="N22" s="16"/>
      <c r="O22" s="17"/>
      <c r="T22" s="54" t="s">
        <v>139</v>
      </c>
      <c r="U22" s="15"/>
    </row>
    <row r="23" spans="2:21" x14ac:dyDescent="0.2">
      <c r="B23" s="12" t="s">
        <v>15</v>
      </c>
      <c r="C23" s="62" t="s">
        <v>28</v>
      </c>
      <c r="D23" s="61"/>
      <c r="T23" s="54" t="s">
        <v>140</v>
      </c>
      <c r="U23" s="15"/>
    </row>
    <row r="24" spans="2:21" x14ac:dyDescent="0.2">
      <c r="B24" s="12" t="s">
        <v>16</v>
      </c>
      <c r="C24" s="62">
        <v>2006</v>
      </c>
      <c r="D24" s="61"/>
      <c r="T24" s="48"/>
      <c r="U24" s="15"/>
    </row>
    <row r="25" spans="2:21" x14ac:dyDescent="0.2">
      <c r="B25" s="12" t="s">
        <v>17</v>
      </c>
      <c r="C25" s="66">
        <v>44228</v>
      </c>
      <c r="D25" s="61"/>
      <c r="T25" s="50" t="s">
        <v>57</v>
      </c>
      <c r="U25" s="15"/>
    </row>
    <row r="26" spans="2:21" x14ac:dyDescent="0.2">
      <c r="B26" s="12"/>
      <c r="C26" s="62"/>
      <c r="D26" s="61"/>
      <c r="T26" s="54" t="s">
        <v>138</v>
      </c>
      <c r="U26" s="15"/>
    </row>
    <row r="27" spans="2:21" x14ac:dyDescent="0.2">
      <c r="B27" s="12" t="s">
        <v>112</v>
      </c>
      <c r="C27" s="67">
        <f>+'Financial Model'!T36/1000</f>
        <v>3.7206999999999999</v>
      </c>
      <c r="D27" s="68"/>
      <c r="T27" s="54" t="s">
        <v>141</v>
      </c>
      <c r="U27" s="15"/>
    </row>
    <row r="28" spans="2:21" x14ac:dyDescent="0.2">
      <c r="B28" s="12" t="s">
        <v>18</v>
      </c>
      <c r="C28" s="60">
        <f>+'Financial Model'!T41</f>
        <v>23.03</v>
      </c>
      <c r="D28" s="61"/>
      <c r="T28" s="54" t="s">
        <v>142</v>
      </c>
      <c r="U28" s="15"/>
    </row>
    <row r="29" spans="2:21" x14ac:dyDescent="0.2">
      <c r="B29" s="12"/>
      <c r="C29" s="62"/>
      <c r="D29" s="61"/>
      <c r="T29" s="54"/>
      <c r="U29" s="15"/>
    </row>
    <row r="30" spans="2:21" x14ac:dyDescent="0.2">
      <c r="B30" s="12" t="s">
        <v>19</v>
      </c>
      <c r="C30" s="19"/>
      <c r="D30" s="20" t="s">
        <v>32</v>
      </c>
      <c r="T30" s="50" t="s">
        <v>143</v>
      </c>
      <c r="U30" s="15"/>
    </row>
    <row r="31" spans="2:21" x14ac:dyDescent="0.2">
      <c r="B31" s="13" t="s">
        <v>20</v>
      </c>
      <c r="C31" s="63" t="s">
        <v>113</v>
      </c>
      <c r="D31" s="64"/>
      <c r="T31" s="54" t="s">
        <v>144</v>
      </c>
      <c r="U31" s="15"/>
    </row>
    <row r="32" spans="2:21" x14ac:dyDescent="0.2">
      <c r="T32" s="54" t="s">
        <v>145</v>
      </c>
      <c r="U32" s="15"/>
    </row>
    <row r="33" spans="2:21" x14ac:dyDescent="0.2">
      <c r="T33" s="54"/>
      <c r="U33" s="15"/>
    </row>
    <row r="34" spans="2:21" x14ac:dyDescent="0.2">
      <c r="B34" s="58" t="s">
        <v>21</v>
      </c>
      <c r="C34" s="65"/>
      <c r="D34" s="59"/>
      <c r="T34" s="50" t="s">
        <v>146</v>
      </c>
      <c r="U34" s="15"/>
    </row>
    <row r="35" spans="2:21" x14ac:dyDescent="0.2">
      <c r="B35" s="12" t="s">
        <v>22</v>
      </c>
      <c r="C35" s="71">
        <f>C6/'Financial Model'!T74</f>
        <v>0.61658406199019111</v>
      </c>
      <c r="D35" s="72"/>
      <c r="T35" s="54" t="s">
        <v>138</v>
      </c>
      <c r="U35" s="15"/>
    </row>
    <row r="36" spans="2:21" x14ac:dyDescent="0.2">
      <c r="B36" s="12" t="s">
        <v>23</v>
      </c>
      <c r="C36" s="71">
        <f>C8/'Financial Model'!T6</f>
        <v>1.3701123568637519</v>
      </c>
      <c r="D36" s="72"/>
      <c r="T36" s="55"/>
      <c r="U36" s="17"/>
    </row>
    <row r="37" spans="2:21" x14ac:dyDescent="0.2">
      <c r="B37" s="12" t="s">
        <v>24</v>
      </c>
      <c r="C37" s="71">
        <f>C12/'Financial Model'!T6</f>
        <v>1.6223242161946325</v>
      </c>
      <c r="D37" s="72"/>
    </row>
    <row r="38" spans="2:21" x14ac:dyDescent="0.2">
      <c r="B38" s="12" t="s">
        <v>25</v>
      </c>
      <c r="C38" s="71">
        <f>C6/'Financial Model'!T19</f>
        <v>-771.48034278365242</v>
      </c>
      <c r="D38" s="72"/>
    </row>
    <row r="39" spans="2:21" x14ac:dyDescent="0.2">
      <c r="B39" s="13" t="s">
        <v>26</v>
      </c>
      <c r="C39" s="73">
        <f>C12/'Financial Model'!T18</f>
        <v>-913.49533207700085</v>
      </c>
      <c r="D39" s="74"/>
    </row>
  </sheetData>
  <mergeCells count="24">
    <mergeCell ref="C36:D36"/>
    <mergeCell ref="C37:D37"/>
    <mergeCell ref="C38:D38"/>
    <mergeCell ref="C39:D39"/>
    <mergeCell ref="G5:O5"/>
    <mergeCell ref="B34:D34"/>
    <mergeCell ref="C35:D35"/>
    <mergeCell ref="C19:D19"/>
    <mergeCell ref="T5:U5"/>
    <mergeCell ref="T17:U17"/>
    <mergeCell ref="C28:D28"/>
    <mergeCell ref="C29:D29"/>
    <mergeCell ref="C31:D31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</mergeCells>
  <hyperlinks>
    <hyperlink ref="C31:D31" r:id="rId1" display="Link" xr:uid="{F606B610-ACF6-4AA7-B02B-868AA7FBB27A}"/>
    <hyperlink ref="C19:D19" r:id="rId2" display="Ms. Lidiane Jones" xr:uid="{4604AB0F-5427-4A24-97C5-0CBA8DF6C941}"/>
    <hyperlink ref="C16:D16" r:id="rId3" display="Whitney Herd" xr:uid="{6978AEDA-63DA-4AFD-9BB2-B7B5AFDA2D21}"/>
    <hyperlink ref="C18:D18" r:id="rId4" display="Antoine Leblond" xr:uid="{E6F0ADE2-D69D-4F50-866F-F238343F6D88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6568-810A-4D3B-BE56-2FFDEFD6AA08}">
  <dimension ref="B1:AC8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4" sqref="N4"/>
    </sheetView>
  </sheetViews>
  <sheetFormatPr defaultRowHeight="12.75" x14ac:dyDescent="0.2"/>
  <cols>
    <col min="1" max="1" width="4.28515625" style="1" customWidth="1"/>
    <col min="2" max="2" width="31.28515625" style="1" bestFit="1" customWidth="1"/>
    <col min="3" max="19" width="9.140625" style="1"/>
    <col min="20" max="20" width="9.140625" style="1" customWidth="1"/>
    <col min="21" max="16384" width="9.140625" style="1"/>
  </cols>
  <sheetData>
    <row r="1" spans="2:29" s="22" customFormat="1" x14ac:dyDescent="0.2">
      <c r="C1" s="22" t="s">
        <v>43</v>
      </c>
      <c r="D1" s="22" t="s">
        <v>42</v>
      </c>
      <c r="E1" s="22" t="s">
        <v>41</v>
      </c>
      <c r="F1" s="22" t="s">
        <v>40</v>
      </c>
      <c r="G1" s="22" t="s">
        <v>39</v>
      </c>
      <c r="H1" s="22" t="s">
        <v>38</v>
      </c>
      <c r="I1" s="22" t="s">
        <v>37</v>
      </c>
      <c r="J1" s="22" t="s">
        <v>36</v>
      </c>
      <c r="K1" s="22" t="s">
        <v>35</v>
      </c>
      <c r="L1" s="22" t="s">
        <v>34</v>
      </c>
      <c r="M1" s="22" t="s">
        <v>33</v>
      </c>
      <c r="N1" s="22" t="s">
        <v>32</v>
      </c>
      <c r="R1" s="22" t="s">
        <v>44</v>
      </c>
      <c r="S1" s="22" t="s">
        <v>45</v>
      </c>
      <c r="T1" s="25" t="s">
        <v>46</v>
      </c>
      <c r="U1" s="22" t="s">
        <v>47</v>
      </c>
      <c r="V1" s="22" t="s">
        <v>48</v>
      </c>
      <c r="W1" s="22" t="s">
        <v>49</v>
      </c>
      <c r="X1" s="22" t="s">
        <v>50</v>
      </c>
      <c r="Y1" s="22" t="s">
        <v>51</v>
      </c>
      <c r="Z1" s="22" t="s">
        <v>52</v>
      </c>
      <c r="AA1" s="22" t="s">
        <v>53</v>
      </c>
      <c r="AB1" s="22" t="s">
        <v>54</v>
      </c>
      <c r="AC1" s="22" t="s">
        <v>55</v>
      </c>
    </row>
    <row r="2" spans="2:29" s="23" customFormat="1" x14ac:dyDescent="0.2">
      <c r="B2" s="24"/>
      <c r="R2" s="39">
        <v>44561</v>
      </c>
      <c r="S2" s="39">
        <v>44926</v>
      </c>
      <c r="T2" s="39">
        <v>45291</v>
      </c>
    </row>
    <row r="3" spans="2:29" s="23" customFormat="1" x14ac:dyDescent="0.2">
      <c r="B3" s="24"/>
    </row>
    <row r="4" spans="2:29" s="29" customFormat="1" x14ac:dyDescent="0.2">
      <c r="B4" s="40" t="s">
        <v>80</v>
      </c>
      <c r="R4" s="29">
        <v>528.58500000000004</v>
      </c>
      <c r="S4" s="29">
        <v>694.32899999999995</v>
      </c>
      <c r="T4" s="29">
        <v>844.774</v>
      </c>
    </row>
    <row r="5" spans="2:29" s="29" customFormat="1" x14ac:dyDescent="0.2">
      <c r="B5" s="40" t="s">
        <v>81</v>
      </c>
      <c r="R5" s="29">
        <v>232.32499999999999</v>
      </c>
      <c r="S5" s="29">
        <v>209.17400000000001</v>
      </c>
      <c r="T5" s="29">
        <v>207.05600000000001</v>
      </c>
    </row>
    <row r="6" spans="2:29" s="30" customFormat="1" x14ac:dyDescent="0.2">
      <c r="B6" s="30" t="s">
        <v>29</v>
      </c>
      <c r="R6" s="30">
        <f t="shared" ref="R6:S6" si="0">R4+R5</f>
        <v>760.91000000000008</v>
      </c>
      <c r="S6" s="30">
        <f t="shared" si="0"/>
        <v>903.50299999999993</v>
      </c>
      <c r="T6" s="30">
        <f>T4+T5</f>
        <v>1051.83</v>
      </c>
    </row>
    <row r="7" spans="2:29" s="8" customFormat="1" x14ac:dyDescent="0.2">
      <c r="B7" s="8" t="s">
        <v>30</v>
      </c>
      <c r="R7" s="8">
        <v>205.57300000000001</v>
      </c>
      <c r="S7" s="8">
        <v>249.49</v>
      </c>
      <c r="T7" s="8">
        <v>307.83499999999998</v>
      </c>
    </row>
    <row r="8" spans="2:29" s="30" customFormat="1" x14ac:dyDescent="0.2">
      <c r="B8" s="30" t="s">
        <v>31</v>
      </c>
      <c r="R8" s="30">
        <f>R6-R7</f>
        <v>555.3370000000001</v>
      </c>
      <c r="S8" s="30">
        <f t="shared" ref="S8:T8" si="1">S6-S7</f>
        <v>654.01299999999992</v>
      </c>
      <c r="T8" s="30">
        <f t="shared" si="1"/>
        <v>743.99499999999989</v>
      </c>
    </row>
    <row r="9" spans="2:29" s="8" customFormat="1" x14ac:dyDescent="0.2">
      <c r="B9" s="8" t="s">
        <v>69</v>
      </c>
      <c r="R9" s="8">
        <v>211.71100000000001</v>
      </c>
      <c r="S9" s="8">
        <v>249.26900000000001</v>
      </c>
      <c r="T9" s="8">
        <v>270.38</v>
      </c>
    </row>
    <row r="10" spans="2:29" s="8" customFormat="1" x14ac:dyDescent="0.2">
      <c r="B10" s="8" t="s">
        <v>70</v>
      </c>
      <c r="R10" s="8">
        <v>257.48899999999998</v>
      </c>
      <c r="S10" s="8">
        <v>308.85500000000002</v>
      </c>
      <c r="T10" s="8">
        <v>221.649</v>
      </c>
    </row>
    <row r="11" spans="2:29" s="8" customFormat="1" x14ac:dyDescent="0.2">
      <c r="B11" s="8" t="s">
        <v>71</v>
      </c>
      <c r="R11" s="8">
        <v>113.764</v>
      </c>
      <c r="S11" s="8">
        <v>109.02</v>
      </c>
      <c r="T11" s="8">
        <v>130.565</v>
      </c>
    </row>
    <row r="12" spans="2:29" s="8" customFormat="1" x14ac:dyDescent="0.2">
      <c r="B12" s="8" t="s">
        <v>72</v>
      </c>
      <c r="R12" s="8">
        <v>107.056</v>
      </c>
      <c r="S12" s="8">
        <v>89.712999999999994</v>
      </c>
      <c r="T12" s="8">
        <v>68.028000000000006</v>
      </c>
    </row>
    <row r="13" spans="2:29" s="30" customFormat="1" x14ac:dyDescent="0.2">
      <c r="B13" s="30" t="s">
        <v>73</v>
      </c>
      <c r="R13" s="30">
        <f>R8-SUM(R9:R12)</f>
        <v>-134.68299999999988</v>
      </c>
      <c r="S13" s="30">
        <f>S8-SUM(S9:S12)</f>
        <v>-102.84400000000005</v>
      </c>
      <c r="T13" s="30">
        <f>T8-SUM(T9:T12)</f>
        <v>53.37299999999982</v>
      </c>
    </row>
    <row r="14" spans="2:29" s="8" customFormat="1" x14ac:dyDescent="0.2">
      <c r="B14" s="8" t="s">
        <v>74</v>
      </c>
      <c r="R14" s="8">
        <v>-24.574000000000002</v>
      </c>
      <c r="S14" s="8">
        <v>-24.062999999999999</v>
      </c>
      <c r="T14" s="8">
        <v>-21.533999999999999</v>
      </c>
    </row>
    <row r="15" spans="2:29" x14ac:dyDescent="0.2">
      <c r="B15" s="1" t="s">
        <v>75</v>
      </c>
      <c r="R15" s="1">
        <v>3.16</v>
      </c>
      <c r="S15" s="43">
        <v>16.189</v>
      </c>
      <c r="T15" s="8">
        <v>-26.536999999999999</v>
      </c>
    </row>
    <row r="16" spans="2:29" x14ac:dyDescent="0.2">
      <c r="B16" s="1" t="s">
        <v>76</v>
      </c>
      <c r="R16" s="8">
        <f t="shared" ref="R16:S16" si="2">R13+R14+R15</f>
        <v>-156.09699999999989</v>
      </c>
      <c r="S16" s="8">
        <f t="shared" si="2"/>
        <v>-110.71800000000005</v>
      </c>
      <c r="T16" s="8">
        <f>T13+T14+T15</f>
        <v>5.301999999999822</v>
      </c>
    </row>
    <row r="17" spans="2:23" x14ac:dyDescent="0.2">
      <c r="B17" s="1" t="s">
        <v>77</v>
      </c>
      <c r="R17" s="8">
        <v>-437.83699999999999</v>
      </c>
      <c r="S17" s="8">
        <v>3.4060000000000001</v>
      </c>
      <c r="T17" s="8">
        <v>7.17</v>
      </c>
    </row>
    <row r="18" spans="2:23" s="2" customFormat="1" x14ac:dyDescent="0.2">
      <c r="B18" s="2" t="s">
        <v>78</v>
      </c>
      <c r="R18" s="30">
        <f t="shared" ref="R18:S18" si="3">R16-R17</f>
        <v>281.74000000000012</v>
      </c>
      <c r="S18" s="30">
        <f t="shared" si="3"/>
        <v>-114.12400000000005</v>
      </c>
      <c r="T18" s="30">
        <f>T16-T17</f>
        <v>-1.868000000000178</v>
      </c>
      <c r="U18" s="8"/>
      <c r="V18" s="8"/>
      <c r="W18" s="8"/>
    </row>
    <row r="19" spans="2:23" s="18" customFormat="1" x14ac:dyDescent="0.2">
      <c r="B19" s="18" t="s">
        <v>79</v>
      </c>
      <c r="R19" s="18">
        <f>R18/R20</f>
        <v>2.3202626576199874</v>
      </c>
      <c r="S19" s="18">
        <f>S18/S20</f>
        <v>-0.88180327425136573</v>
      </c>
      <c r="T19" s="18">
        <f>T18/T20</f>
        <v>-1.3843515392063606E-2</v>
      </c>
    </row>
    <row r="20" spans="2:23" s="8" customFormat="1" x14ac:dyDescent="0.2">
      <c r="B20" s="8" t="s">
        <v>4</v>
      </c>
      <c r="R20" s="8">
        <v>121.42590800000001</v>
      </c>
      <c r="S20" s="8">
        <v>129.42115699999999</v>
      </c>
      <c r="T20" s="8">
        <v>134.936824</v>
      </c>
    </row>
    <row r="22" spans="2:23" x14ac:dyDescent="0.2">
      <c r="B22" s="1" t="s">
        <v>82</v>
      </c>
      <c r="R22" s="45">
        <f>R8/R6</f>
        <v>0.72983270031935454</v>
      </c>
      <c r="S22" s="45">
        <f>S8/S6</f>
        <v>0.72386367283783226</v>
      </c>
      <c r="T22" s="45">
        <f>T8/T6</f>
        <v>0.70733388475323955</v>
      </c>
    </row>
    <row r="23" spans="2:23" x14ac:dyDescent="0.2">
      <c r="B23" s="1" t="s">
        <v>83</v>
      </c>
      <c r="R23" s="45">
        <f>R13/R6</f>
        <v>-0.17700253643663491</v>
      </c>
      <c r="S23" s="45">
        <f>S13/S6</f>
        <v>-0.11382806697930174</v>
      </c>
      <c r="T23" s="45">
        <f>T13/T6</f>
        <v>5.0742990787484503E-2</v>
      </c>
    </row>
    <row r="24" spans="2:23" x14ac:dyDescent="0.2">
      <c r="B24" s="1" t="s">
        <v>84</v>
      </c>
      <c r="R24" s="45">
        <f>R18/R6</f>
        <v>0.37026718008700121</v>
      </c>
      <c r="S24" s="45">
        <f>S18/S6</f>
        <v>-0.1263128069303589</v>
      </c>
      <c r="T24" s="45">
        <f>T18/T6</f>
        <v>-1.7759523877434358E-3</v>
      </c>
    </row>
    <row r="25" spans="2:23" x14ac:dyDescent="0.2">
      <c r="B25" s="1" t="s">
        <v>85</v>
      </c>
      <c r="R25" s="45">
        <f>R17/R16</f>
        <v>2.8049033613714567</v>
      </c>
      <c r="S25" s="45">
        <f>S17/S16</f>
        <v>-3.0762838924113502E-2</v>
      </c>
      <c r="T25" s="45">
        <f>T17/T16</f>
        <v>1.352319879290879</v>
      </c>
    </row>
    <row r="27" spans="2:23" s="42" customFormat="1" x14ac:dyDescent="0.2">
      <c r="B27" s="42" t="s">
        <v>86</v>
      </c>
      <c r="S27" s="42">
        <f>S6/R6-1</f>
        <v>0.18739798399285035</v>
      </c>
      <c r="T27" s="42">
        <f>T6/S6-1</f>
        <v>0.16416879634046588</v>
      </c>
    </row>
    <row r="28" spans="2:23" s="47" customFormat="1" x14ac:dyDescent="0.2">
      <c r="B28" s="46" t="s">
        <v>114</v>
      </c>
      <c r="S28" s="47">
        <f>S4/R4-1</f>
        <v>0.31356167882175989</v>
      </c>
      <c r="T28" s="47">
        <f>T4/S4-1</f>
        <v>0.21667682035461588</v>
      </c>
    </row>
    <row r="29" spans="2:23" s="47" customFormat="1" x14ac:dyDescent="0.2">
      <c r="B29" s="46" t="s">
        <v>115</v>
      </c>
      <c r="S29" s="47">
        <f>S5/R5-1</f>
        <v>-9.9649198321317023E-2</v>
      </c>
      <c r="T29" s="47">
        <f>T5/S5-1</f>
        <v>-1.0125541415280992E-2</v>
      </c>
    </row>
    <row r="30" spans="2:23" x14ac:dyDescent="0.2">
      <c r="B30" s="1" t="s">
        <v>87</v>
      </c>
      <c r="R30" s="21" t="s">
        <v>64</v>
      </c>
      <c r="S30" s="21" t="s">
        <v>64</v>
      </c>
      <c r="T30" s="21" t="s">
        <v>64</v>
      </c>
    </row>
    <row r="33" spans="2:22" x14ac:dyDescent="0.2">
      <c r="B33" s="26" t="s">
        <v>58</v>
      </c>
    </row>
    <row r="34" spans="2:22" s="28" customFormat="1" x14ac:dyDescent="0.2">
      <c r="B34" s="27" t="s">
        <v>59</v>
      </c>
      <c r="R34" s="28">
        <v>1499.8</v>
      </c>
      <c r="S34" s="28">
        <v>2002.2</v>
      </c>
      <c r="T34" s="29">
        <v>2517.4</v>
      </c>
    </row>
    <row r="35" spans="2:22" s="28" customFormat="1" x14ac:dyDescent="0.2">
      <c r="B35" s="27" t="s">
        <v>60</v>
      </c>
      <c r="R35" s="28">
        <v>1394.1</v>
      </c>
      <c r="S35" s="28">
        <v>1179.7</v>
      </c>
      <c r="T35" s="29">
        <v>1203.3</v>
      </c>
    </row>
    <row r="36" spans="2:22" s="2" customFormat="1" x14ac:dyDescent="0.2">
      <c r="B36" s="2" t="s">
        <v>61</v>
      </c>
      <c r="R36" s="30">
        <f t="shared" ref="R36:S36" si="4">R34+R35</f>
        <v>2893.8999999999996</v>
      </c>
      <c r="S36" s="30">
        <f t="shared" si="4"/>
        <v>3181.9</v>
      </c>
      <c r="T36" s="30">
        <f>T34+T35</f>
        <v>3720.7</v>
      </c>
      <c r="V36" s="44"/>
    </row>
    <row r="37" spans="2:22" s="33" customFormat="1" x14ac:dyDescent="0.2">
      <c r="B37" s="36" t="s">
        <v>65</v>
      </c>
      <c r="R37" s="35" t="s">
        <v>64</v>
      </c>
      <c r="S37" s="35" t="s">
        <v>64</v>
      </c>
      <c r="T37" s="35" t="s">
        <v>64</v>
      </c>
    </row>
    <row r="38" spans="2:22" s="34" customFormat="1" x14ac:dyDescent="0.2">
      <c r="B38" s="37" t="s">
        <v>66</v>
      </c>
      <c r="S38" s="34">
        <f t="shared" ref="S38" si="5">S36/R36-1</f>
        <v>9.9519679325478005E-2</v>
      </c>
      <c r="T38" s="34">
        <f>T36/S36-1</f>
        <v>0.16933278858543632</v>
      </c>
    </row>
    <row r="39" spans="2:22" s="28" customFormat="1" x14ac:dyDescent="0.2">
      <c r="B39" s="27" t="s">
        <v>62</v>
      </c>
      <c r="R39" s="28">
        <v>29.37</v>
      </c>
      <c r="S39" s="28">
        <v>28.9</v>
      </c>
      <c r="T39" s="31">
        <v>27.97</v>
      </c>
    </row>
    <row r="40" spans="2:22" s="28" customFormat="1" x14ac:dyDescent="0.2">
      <c r="B40" s="27" t="s">
        <v>63</v>
      </c>
      <c r="R40" s="28">
        <v>13.13</v>
      </c>
      <c r="S40" s="28">
        <v>13.06</v>
      </c>
      <c r="T40" s="31">
        <v>12.7</v>
      </c>
    </row>
    <row r="41" spans="2:22" s="2" customFormat="1" x14ac:dyDescent="0.2">
      <c r="B41" s="2" t="s">
        <v>18</v>
      </c>
      <c r="R41" s="2">
        <v>21.55</v>
      </c>
      <c r="S41" s="2">
        <v>23.03</v>
      </c>
      <c r="T41" s="32">
        <v>23.03</v>
      </c>
    </row>
    <row r="42" spans="2:22" s="33" customFormat="1" x14ac:dyDescent="0.2">
      <c r="B42" s="36" t="s">
        <v>67</v>
      </c>
      <c r="R42" s="38" t="s">
        <v>64</v>
      </c>
      <c r="S42" s="38" t="s">
        <v>64</v>
      </c>
      <c r="T42" s="38" t="s">
        <v>64</v>
      </c>
    </row>
    <row r="43" spans="2:22" s="33" customFormat="1" x14ac:dyDescent="0.2">
      <c r="B43" s="36" t="s">
        <v>68</v>
      </c>
      <c r="R43" s="34"/>
      <c r="S43" s="34">
        <f t="shared" ref="S43" si="6">S41/R41-1</f>
        <v>6.867749419953606E-2</v>
      </c>
      <c r="T43" s="34">
        <f>T41/S41-1</f>
        <v>0</v>
      </c>
    </row>
    <row r="44" spans="2:22" s="41" customFormat="1" x14ac:dyDescent="0.2">
      <c r="B44" s="44" t="s">
        <v>116</v>
      </c>
      <c r="T44" s="41">
        <v>1200</v>
      </c>
    </row>
    <row r="47" spans="2:22" x14ac:dyDescent="0.2">
      <c r="B47" s="26" t="s">
        <v>88</v>
      </c>
    </row>
    <row r="48" spans="2:22" s="2" customFormat="1" x14ac:dyDescent="0.2">
      <c r="B48" s="2" t="s">
        <v>6</v>
      </c>
      <c r="R48" s="30"/>
      <c r="S48" s="30">
        <v>402.55900000000003</v>
      </c>
      <c r="T48" s="30">
        <v>355.642</v>
      </c>
    </row>
    <row r="49" spans="2:20" x14ac:dyDescent="0.2">
      <c r="B49" s="1" t="s">
        <v>89</v>
      </c>
      <c r="R49" s="8"/>
      <c r="S49" s="8">
        <v>66.930000000000007</v>
      </c>
      <c r="T49" s="8">
        <v>102.67700000000001</v>
      </c>
    </row>
    <row r="50" spans="2:20" x14ac:dyDescent="0.2">
      <c r="B50" s="1" t="s">
        <v>90</v>
      </c>
      <c r="R50" s="8"/>
      <c r="S50" s="8">
        <v>31.882000000000001</v>
      </c>
      <c r="T50" s="8">
        <v>34.731999999999999</v>
      </c>
    </row>
    <row r="51" spans="2:20" x14ac:dyDescent="0.2">
      <c r="B51" s="1" t="s">
        <v>91</v>
      </c>
      <c r="R51" s="8">
        <f t="shared" ref="R51:S51" si="7">SUM(R48:R50)</f>
        <v>0</v>
      </c>
      <c r="S51" s="8">
        <f t="shared" si="7"/>
        <v>501.37100000000004</v>
      </c>
      <c r="T51" s="8">
        <f>SUM(T48:T50)</f>
        <v>493.05100000000004</v>
      </c>
    </row>
    <row r="52" spans="2:20" x14ac:dyDescent="0.2">
      <c r="B52" s="1" t="s">
        <v>92</v>
      </c>
      <c r="R52" s="8"/>
      <c r="S52" s="8">
        <v>17.419</v>
      </c>
      <c r="T52" s="8">
        <v>15.425000000000001</v>
      </c>
    </row>
    <row r="53" spans="2:20" x14ac:dyDescent="0.2">
      <c r="B53" s="1" t="s">
        <v>93</v>
      </c>
      <c r="R53" s="8"/>
      <c r="S53" s="8">
        <v>14.467000000000001</v>
      </c>
      <c r="T53" s="8">
        <v>12.462</v>
      </c>
    </row>
    <row r="54" spans="2:20" x14ac:dyDescent="0.2">
      <c r="B54" s="1" t="s">
        <v>94</v>
      </c>
      <c r="R54" s="8"/>
      <c r="S54" s="8">
        <f>1579.77+1524.428</f>
        <v>3104.1980000000003</v>
      </c>
      <c r="T54" s="8">
        <f>1585.75+1484.29</f>
        <v>3070.04</v>
      </c>
    </row>
    <row r="55" spans="2:20" x14ac:dyDescent="0.2">
      <c r="B55" s="1" t="s">
        <v>95</v>
      </c>
      <c r="R55" s="8"/>
      <c r="S55" s="8">
        <v>24.05</v>
      </c>
      <c r="T55" s="8">
        <v>27.029</v>
      </c>
    </row>
    <row r="56" spans="2:20" x14ac:dyDescent="0.2">
      <c r="B56" s="1" t="s">
        <v>96</v>
      </c>
      <c r="R56" s="8"/>
      <c r="S56" s="8">
        <v>31.116</v>
      </c>
      <c r="T56" s="8">
        <v>7.12</v>
      </c>
    </row>
    <row r="57" spans="2:20" x14ac:dyDescent="0.2">
      <c r="B57" s="1" t="s">
        <v>97</v>
      </c>
      <c r="R57" s="8">
        <f t="shared" ref="R57:S57" si="8">SUM(R51:R56)</f>
        <v>0</v>
      </c>
      <c r="S57" s="8">
        <f t="shared" si="8"/>
        <v>3692.6210000000005</v>
      </c>
      <c r="T57" s="8">
        <f>SUM(T51:T56)</f>
        <v>3625.127</v>
      </c>
    </row>
    <row r="58" spans="2:20" x14ac:dyDescent="0.2">
      <c r="R58" s="8"/>
      <c r="S58" s="8"/>
      <c r="T58" s="8"/>
    </row>
    <row r="59" spans="2:20" x14ac:dyDescent="0.2">
      <c r="B59" s="1" t="s">
        <v>98</v>
      </c>
      <c r="R59" s="8"/>
      <c r="S59" s="8">
        <v>3.367</v>
      </c>
      <c r="T59" s="8">
        <v>4.6109999999999998</v>
      </c>
    </row>
    <row r="60" spans="2:20" x14ac:dyDescent="0.2">
      <c r="B60" s="1" t="s">
        <v>99</v>
      </c>
      <c r="R60" s="8"/>
      <c r="S60" s="8">
        <v>46.107999999999997</v>
      </c>
      <c r="T60" s="8">
        <v>48.749000000000002</v>
      </c>
    </row>
    <row r="61" spans="2:20" x14ac:dyDescent="0.2">
      <c r="B61" s="1" t="s">
        <v>100</v>
      </c>
      <c r="R61" s="8"/>
      <c r="S61" s="8">
        <v>156.44300000000001</v>
      </c>
      <c r="T61" s="8">
        <v>185.79900000000001</v>
      </c>
    </row>
    <row r="62" spans="2:20" s="2" customFormat="1" x14ac:dyDescent="0.2">
      <c r="B62" s="2" t="s">
        <v>101</v>
      </c>
      <c r="R62" s="30"/>
      <c r="S62" s="30">
        <v>5.75</v>
      </c>
      <c r="T62" s="30">
        <v>5.75</v>
      </c>
    </row>
    <row r="63" spans="2:20" x14ac:dyDescent="0.2">
      <c r="B63" s="1" t="s">
        <v>102</v>
      </c>
      <c r="R63" s="8">
        <f t="shared" ref="R63:S63" si="9">SUM(R59:R62)</f>
        <v>0</v>
      </c>
      <c r="S63" s="8">
        <f t="shared" si="9"/>
        <v>211.66800000000001</v>
      </c>
      <c r="T63" s="8">
        <f>SUM(T59:T62)</f>
        <v>244.90899999999999</v>
      </c>
    </row>
    <row r="64" spans="2:20" s="2" customFormat="1" x14ac:dyDescent="0.2">
      <c r="B64" s="2" t="s">
        <v>103</v>
      </c>
      <c r="R64" s="30"/>
      <c r="S64" s="30">
        <v>619.22299999999996</v>
      </c>
      <c r="T64" s="30">
        <v>615.17600000000004</v>
      </c>
    </row>
    <row r="65" spans="2:20" x14ac:dyDescent="0.2">
      <c r="B65" s="1" t="s">
        <v>95</v>
      </c>
      <c r="R65" s="8"/>
      <c r="S65" s="8">
        <v>8.077</v>
      </c>
      <c r="T65" s="8">
        <v>5.673</v>
      </c>
    </row>
    <row r="66" spans="2:20" x14ac:dyDescent="0.2">
      <c r="B66" s="1" t="s">
        <v>104</v>
      </c>
      <c r="R66" s="8"/>
      <c r="S66" s="8">
        <v>385.48599999999999</v>
      </c>
      <c r="T66" s="8">
        <v>407.38900000000001</v>
      </c>
    </row>
    <row r="67" spans="2:20" x14ac:dyDescent="0.2">
      <c r="B67" s="1" t="s">
        <v>105</v>
      </c>
      <c r="R67" s="8"/>
      <c r="S67" s="8">
        <v>14.587999999999999</v>
      </c>
      <c r="T67" s="8">
        <v>14.707000000000001</v>
      </c>
    </row>
    <row r="68" spans="2:20" x14ac:dyDescent="0.2">
      <c r="B68" s="1" t="s">
        <v>106</v>
      </c>
      <c r="R68" s="8">
        <f t="shared" ref="R68:S68" si="10">SUM(R63:R67)</f>
        <v>0</v>
      </c>
      <c r="S68" s="8">
        <f t="shared" si="10"/>
        <v>1239.0419999999999</v>
      </c>
      <c r="T68" s="8">
        <f>SUM(T63:T67)</f>
        <v>1287.854</v>
      </c>
    </row>
    <row r="70" spans="2:20" s="8" customFormat="1" x14ac:dyDescent="0.2">
      <c r="B70" s="8" t="s">
        <v>107</v>
      </c>
      <c r="S70" s="8">
        <v>3692.6210000000001</v>
      </c>
      <c r="T70" s="8">
        <v>3625.127</v>
      </c>
    </row>
    <row r="71" spans="2:20" s="8" customFormat="1" x14ac:dyDescent="0.2">
      <c r="B71" s="8" t="s">
        <v>108</v>
      </c>
      <c r="S71" s="8">
        <f t="shared" ref="S71" si="11">S70+S68</f>
        <v>4931.6630000000005</v>
      </c>
      <c r="T71" s="8">
        <f>T70+T68</f>
        <v>4912.9809999999998</v>
      </c>
    </row>
    <row r="73" spans="2:20" x14ac:dyDescent="0.2">
      <c r="B73" s="1" t="s">
        <v>109</v>
      </c>
      <c r="S73" s="8">
        <f>S57-S68</f>
        <v>2453.5790000000006</v>
      </c>
      <c r="T73" s="8">
        <f>T57-T68</f>
        <v>2337.2730000000001</v>
      </c>
    </row>
    <row r="74" spans="2:20" x14ac:dyDescent="0.2">
      <c r="B74" s="1" t="s">
        <v>110</v>
      </c>
      <c r="S74" s="1">
        <f>S73/S20</f>
        <v>18.958098172464961</v>
      </c>
      <c r="T74" s="1">
        <f>T73/T20</f>
        <v>17.321239160038331</v>
      </c>
    </row>
    <row r="76" spans="2:20" x14ac:dyDescent="0.2">
      <c r="B76" s="1" t="s">
        <v>6</v>
      </c>
      <c r="R76" s="8">
        <f t="shared" ref="R76:S76" si="12">+R48</f>
        <v>0</v>
      </c>
      <c r="S76" s="8">
        <f t="shared" si="12"/>
        <v>402.55900000000003</v>
      </c>
      <c r="T76" s="8">
        <f>+T48</f>
        <v>355.642</v>
      </c>
    </row>
    <row r="77" spans="2:20" x14ac:dyDescent="0.2">
      <c r="B77" s="1" t="s">
        <v>7</v>
      </c>
      <c r="R77" s="8">
        <f t="shared" ref="R77:S77" si="13">+R62+R64</f>
        <v>0</v>
      </c>
      <c r="S77" s="8">
        <f t="shared" si="13"/>
        <v>624.97299999999996</v>
      </c>
      <c r="T77" s="8">
        <f>+T62+T64</f>
        <v>620.92600000000004</v>
      </c>
    </row>
    <row r="78" spans="2:20" x14ac:dyDescent="0.2">
      <c r="B78" s="1" t="s">
        <v>8</v>
      </c>
      <c r="R78" s="8">
        <f t="shared" ref="R78:S78" si="14">R76-R77</f>
        <v>0</v>
      </c>
      <c r="S78" s="8">
        <f t="shared" si="14"/>
        <v>-222.41399999999993</v>
      </c>
      <c r="T78" s="8">
        <f>T76-T77</f>
        <v>-265.28400000000005</v>
      </c>
    </row>
    <row r="80" spans="2:20" x14ac:dyDescent="0.2">
      <c r="B80" s="1" t="s">
        <v>111</v>
      </c>
      <c r="R80" s="1">
        <v>33.86</v>
      </c>
      <c r="S80" s="1">
        <v>21.05</v>
      </c>
      <c r="T80" s="1">
        <v>14.74</v>
      </c>
    </row>
    <row r="81" spans="2:20" s="8" customFormat="1" x14ac:dyDescent="0.2">
      <c r="B81" s="8" t="s">
        <v>5</v>
      </c>
      <c r="S81" s="8">
        <f>S80*S20</f>
        <v>2724.3153548499999</v>
      </c>
      <c r="T81" s="8">
        <f>T80*T20</f>
        <v>1988.9687857599999</v>
      </c>
    </row>
    <row r="82" spans="2:20" s="8" customFormat="1" x14ac:dyDescent="0.2">
      <c r="B82" s="8" t="s">
        <v>9</v>
      </c>
      <c r="S82" s="8">
        <f>S81-S78</f>
        <v>2946.7293548499997</v>
      </c>
      <c r="T82" s="8">
        <f>T81-T78</f>
        <v>2254.2527857599998</v>
      </c>
    </row>
    <row r="84" spans="2:20" s="75" customFormat="1" x14ac:dyDescent="0.2">
      <c r="B84" s="75" t="s">
        <v>22</v>
      </c>
      <c r="S84" s="75">
        <f>S80/S74</f>
        <v>1.1103434431294037</v>
      </c>
      <c r="T84" s="75">
        <f>T80/T74</f>
        <v>0.85097837769058216</v>
      </c>
    </row>
    <row r="85" spans="2:20" x14ac:dyDescent="0.2">
      <c r="B85" s="1" t="s">
        <v>23</v>
      </c>
      <c r="S85" s="75">
        <f>S81/S6</f>
        <v>3.0152809175509105</v>
      </c>
      <c r="T85" s="75">
        <f>T81/T6</f>
        <v>1.8909603127501593</v>
      </c>
    </row>
    <row r="86" spans="2:20" x14ac:dyDescent="0.2">
      <c r="B86" s="1" t="s">
        <v>24</v>
      </c>
      <c r="S86" s="75">
        <f>S82/S6</f>
        <v>3.2614494416177919</v>
      </c>
      <c r="T86" s="75">
        <f>T82/T6</f>
        <v>2.1431721720810395</v>
      </c>
    </row>
    <row r="87" spans="2:20" x14ac:dyDescent="0.2">
      <c r="B87" s="1" t="s">
        <v>25</v>
      </c>
      <c r="S87" s="75">
        <f>S80/S18</f>
        <v>-0.18444849461988705</v>
      </c>
      <c r="T87" s="75">
        <f>T80/T18</f>
        <v>-7.890792291219805</v>
      </c>
    </row>
    <row r="88" spans="2:20" x14ac:dyDescent="0.2">
      <c r="B88" s="1" t="s">
        <v>26</v>
      </c>
      <c r="S88" s="75">
        <f>S82/S18</f>
        <v>-25.820417746048143</v>
      </c>
      <c r="T88" s="75">
        <f>T82/T18</f>
        <v>-1206.7734399142319</v>
      </c>
    </row>
  </sheetData>
  <hyperlinks>
    <hyperlink ref="T1" r:id="rId1" xr:uid="{1FEA7EB2-90F5-4396-9A65-19E36DE199B0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2024-03-07T11:33:13Z</dcterms:created>
  <dcterms:modified xsi:type="dcterms:W3CDTF">2024-03-10T13:21:19Z</dcterms:modified>
</cp:coreProperties>
</file>