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8CD51A87-2BF2-4446-8234-AB40ECBCDD83}" xr6:coauthVersionLast="47" xr6:coauthVersionMax="47" xr10:uidLastSave="{00000000-0000-0000-0000-000000000000}"/>
  <bookViews>
    <workbookView xWindow="-120" yWindow="-120" windowWidth="29040" windowHeight="15720" activeTab="2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1" i="3" l="1"/>
  <c r="U20" i="3"/>
  <c r="U19" i="3"/>
  <c r="U16" i="3"/>
  <c r="U15" i="3"/>
  <c r="U4" i="3"/>
  <c r="U3" i="3"/>
  <c r="G16" i="1"/>
  <c r="G20" i="1"/>
  <c r="G19" i="1"/>
  <c r="G18" i="1"/>
  <c r="G17" i="1"/>
  <c r="C10" i="1"/>
  <c r="C9" i="1"/>
  <c r="C7" i="1"/>
  <c r="P124" i="2"/>
  <c r="P125" i="2" s="1"/>
  <c r="P122" i="2"/>
  <c r="P114" i="2"/>
  <c r="P86" i="2"/>
  <c r="P107" i="2"/>
  <c r="P96" i="2"/>
  <c r="P85" i="2"/>
  <c r="P77" i="2"/>
  <c r="P78" i="2"/>
  <c r="P79" i="2"/>
  <c r="P80" i="2"/>
  <c r="P81" i="2"/>
  <c r="P82" i="2"/>
  <c r="P74" i="2"/>
  <c r="P75" i="2" s="1"/>
  <c r="P70" i="2"/>
  <c r="P69" i="2"/>
  <c r="P71" i="2" s="1"/>
  <c r="P66" i="2"/>
  <c r="P67" i="2" s="1"/>
  <c r="P64" i="2"/>
  <c r="P61" i="2"/>
  <c r="P51" i="2"/>
  <c r="P49" i="2"/>
  <c r="P36" i="2"/>
  <c r="P35" i="2"/>
  <c r="P27" i="2"/>
  <c r="O27" i="2"/>
  <c r="P31" i="2"/>
  <c r="P25" i="2"/>
  <c r="P24" i="2"/>
  <c r="P23" i="2"/>
  <c r="P22" i="2"/>
  <c r="P19" i="2"/>
  <c r="P13" i="2"/>
  <c r="P11" i="2"/>
  <c r="P5" i="2"/>
  <c r="P28" i="2"/>
  <c r="T12" i="3"/>
  <c r="T11" i="3"/>
  <c r="T8" i="3"/>
  <c r="T7" i="3"/>
  <c r="P12" i="2" l="1"/>
  <c r="P16" i="2" s="1"/>
  <c r="P18" i="2" s="1"/>
  <c r="N69" i="2"/>
  <c r="M69" i="2"/>
  <c r="L69" i="2"/>
  <c r="K69" i="2"/>
  <c r="I69" i="2"/>
  <c r="H69" i="2"/>
  <c r="G69" i="2"/>
  <c r="F69" i="2"/>
  <c r="O69" i="2"/>
  <c r="AC20" i="2" l="1"/>
  <c r="O124" i="2" l="1"/>
  <c r="O122" i="2"/>
  <c r="N114" i="2"/>
  <c r="M114" i="2"/>
  <c r="L114" i="2"/>
  <c r="O114" i="2"/>
  <c r="O96" i="2"/>
  <c r="O107" i="2" s="1"/>
  <c r="O125" i="2" s="1"/>
  <c r="O74" i="2"/>
  <c r="O78" i="2" s="1"/>
  <c r="G71" i="2"/>
  <c r="N70" i="2"/>
  <c r="M70" i="2"/>
  <c r="L70" i="2"/>
  <c r="L71" i="2" s="1"/>
  <c r="K70" i="2"/>
  <c r="K71" i="2" s="1"/>
  <c r="J70" i="2"/>
  <c r="I70" i="2"/>
  <c r="I71" i="2" s="1"/>
  <c r="H70" i="2"/>
  <c r="H71" i="2" s="1"/>
  <c r="G70" i="2"/>
  <c r="F70" i="2"/>
  <c r="F71" i="2" s="1"/>
  <c r="N71" i="2"/>
  <c r="M71" i="2"/>
  <c r="O71" i="2"/>
  <c r="O70" i="2"/>
  <c r="O61" i="2"/>
  <c r="O64" i="2" s="1"/>
  <c r="O49" i="2"/>
  <c r="O51" i="2" s="1"/>
  <c r="S16" i="3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66" i="2" l="1"/>
  <c r="O67" i="2" s="1"/>
  <c r="O12" i="2"/>
  <c r="O23" i="2" s="1"/>
  <c r="O75" i="2"/>
  <c r="O16" i="2" l="1"/>
  <c r="O77" i="2"/>
  <c r="O79" i="2"/>
  <c r="O82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B34" i="2"/>
  <c r="AB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Z3" i="2"/>
  <c r="AA3" i="2"/>
  <c r="AA28" i="2" s="1"/>
  <c r="AB3" i="2"/>
  <c r="AC3" i="2" s="1"/>
  <c r="AC5" i="2" s="1"/>
  <c r="Z4" i="2"/>
  <c r="AA4" i="2"/>
  <c r="AB4" i="2"/>
  <c r="Z6" i="2"/>
  <c r="AA6" i="2"/>
  <c r="AB6" i="2"/>
  <c r="Z7" i="2"/>
  <c r="AA7" i="2"/>
  <c r="AB7" i="2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Z8" i="2"/>
  <c r="AA8" i="2"/>
  <c r="AA31" i="2" s="1"/>
  <c r="AB8" i="2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Z9" i="2"/>
  <c r="AA9" i="2"/>
  <c r="AB9" i="2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Z10" i="2"/>
  <c r="AA10" i="2"/>
  <c r="AB10" i="2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Z13" i="2"/>
  <c r="AA13" i="2"/>
  <c r="AA14" i="2"/>
  <c r="AB14" i="2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Z15" i="2"/>
  <c r="AA15" i="2"/>
  <c r="Z17" i="2"/>
  <c r="AA17" i="2"/>
  <c r="AB17" i="2"/>
  <c r="AC17" i="2" s="1"/>
  <c r="Z20" i="2"/>
  <c r="AA20" i="2"/>
  <c r="AT27" i="2"/>
  <c r="Z11" i="2" l="1"/>
  <c r="AA11" i="2"/>
  <c r="AA5" i="2"/>
  <c r="AA12" i="2" s="1"/>
  <c r="Z5" i="2"/>
  <c r="N82" i="2"/>
  <c r="N79" i="2"/>
  <c r="AB11" i="2"/>
  <c r="AB12" i="2" s="1"/>
  <c r="AB23" i="2" s="1"/>
  <c r="AC6" i="2"/>
  <c r="AD6" i="2" s="1"/>
  <c r="AE6" i="2" s="1"/>
  <c r="AF6" i="2" s="1"/>
  <c r="AG6" i="2" s="1"/>
  <c r="AD3" i="2"/>
  <c r="AC28" i="2"/>
  <c r="AC22" i="2"/>
  <c r="AB5" i="2"/>
  <c r="AB22" i="2" s="1"/>
  <c r="AB28" i="2"/>
  <c r="Z22" i="2"/>
  <c r="Z12" i="2"/>
  <c r="AA22" i="2"/>
  <c r="AD17" i="2"/>
  <c r="AD28" i="2" l="1"/>
  <c r="AD5" i="2"/>
  <c r="AE3" i="2"/>
  <c r="AE5" i="2" s="1"/>
  <c r="AC11" i="2"/>
  <c r="AC12" i="2" s="1"/>
  <c r="AC23" i="2" s="1"/>
  <c r="AE11" i="2"/>
  <c r="AF11" i="2"/>
  <c r="AD11" i="2"/>
  <c r="AD12" i="2" s="1"/>
  <c r="AC4" i="2"/>
  <c r="AE17" i="2"/>
  <c r="AH6" i="2"/>
  <c r="AG11" i="2"/>
  <c r="AA16" i="2"/>
  <c r="AA23" i="2"/>
  <c r="Z23" i="2"/>
  <c r="AF3" i="2" l="1"/>
  <c r="AE28" i="2"/>
  <c r="AD4" i="2"/>
  <c r="AD22" i="2"/>
  <c r="AD23" i="2"/>
  <c r="AF17" i="2"/>
  <c r="AE22" i="2"/>
  <c r="AE12" i="2"/>
  <c r="AI6" i="2"/>
  <c r="AH11" i="2"/>
  <c r="AE4" i="2"/>
  <c r="AF28" i="2"/>
  <c r="AA25" i="2"/>
  <c r="AA18" i="2"/>
  <c r="AG3" i="2" l="1"/>
  <c r="AG28" i="2" s="1"/>
  <c r="AF5" i="2"/>
  <c r="AE23" i="2"/>
  <c r="AA19" i="2"/>
  <c r="AA24" i="2"/>
  <c r="AI11" i="2"/>
  <c r="AJ6" i="2"/>
  <c r="AF12" i="2"/>
  <c r="AF22" i="2"/>
  <c r="AG17" i="2"/>
  <c r="AF4" i="2"/>
  <c r="AG5" i="2" l="1"/>
  <c r="AG12" i="2" s="1"/>
  <c r="AH3" i="2"/>
  <c r="AJ11" i="2"/>
  <c r="AK6" i="2"/>
  <c r="AH17" i="2"/>
  <c r="AF23" i="2"/>
  <c r="AH28" i="2"/>
  <c r="AG4" i="2" l="1"/>
  <c r="AG22" i="2"/>
  <c r="AI3" i="2"/>
  <c r="AH5" i="2"/>
  <c r="AH4" i="2" s="1"/>
  <c r="AI28" i="2"/>
  <c r="AG23" i="2"/>
  <c r="AI17" i="2"/>
  <c r="AK11" i="2"/>
  <c r="AL6" i="2"/>
  <c r="AH12" i="2" l="1"/>
  <c r="AH22" i="2"/>
  <c r="AJ3" i="2"/>
  <c r="AI5" i="2"/>
  <c r="AI4" i="2" s="1"/>
  <c r="AL11" i="2"/>
  <c r="AM6" i="2"/>
  <c r="AJ17" i="2"/>
  <c r="AH23" i="2"/>
  <c r="AJ28" i="2"/>
  <c r="AI12" i="2" l="1"/>
  <c r="AI23" i="2" s="1"/>
  <c r="AI22" i="2"/>
  <c r="AK3" i="2"/>
  <c r="AJ5" i="2"/>
  <c r="AJ12" i="2" s="1"/>
  <c r="AM11" i="2"/>
  <c r="AN6" i="2"/>
  <c r="AK17" i="2"/>
  <c r="AJ22" i="2"/>
  <c r="AK28" i="2"/>
  <c r="AJ4" i="2" l="1"/>
  <c r="AL3" i="2"/>
  <c r="AK5" i="2"/>
  <c r="AK4" i="2" s="1"/>
  <c r="AN11" i="2"/>
  <c r="AO6" i="2"/>
  <c r="AL28" i="2"/>
  <c r="AJ23" i="2"/>
  <c r="AL17" i="2"/>
  <c r="AK12" i="2" l="1"/>
  <c r="AK22" i="2"/>
  <c r="AM3" i="2"/>
  <c r="AM28" i="2" s="1"/>
  <c r="AL5" i="2"/>
  <c r="AL4" i="2" s="1"/>
  <c r="AL22" i="2"/>
  <c r="AL12" i="2"/>
  <c r="AO11" i="2"/>
  <c r="AP6" i="2"/>
  <c r="AM17" i="2"/>
  <c r="AK23" i="2"/>
  <c r="AN3" i="2" l="1"/>
  <c r="AN28" i="2" s="1"/>
  <c r="AM5" i="2"/>
  <c r="AM12" i="2" s="1"/>
  <c r="AL23" i="2"/>
  <c r="AN17" i="2"/>
  <c r="AQ6" i="2"/>
  <c r="AQ11" i="2" s="1"/>
  <c r="AP11" i="2"/>
  <c r="AM4" i="2" l="1"/>
  <c r="AM22" i="2"/>
  <c r="AO3" i="2"/>
  <c r="AN5" i="2"/>
  <c r="AN4" i="2" s="1"/>
  <c r="AM23" i="2"/>
  <c r="AO17" i="2"/>
  <c r="AO28" i="2"/>
  <c r="AN12" i="2"/>
  <c r="AN22" i="2" l="1"/>
  <c r="AP3" i="2"/>
  <c r="AO5" i="2"/>
  <c r="AO12" i="2" s="1"/>
  <c r="AN23" i="2"/>
  <c r="AP28" i="2"/>
  <c r="AO22" i="2"/>
  <c r="AO4" i="2"/>
  <c r="AP17" i="2"/>
  <c r="AQ3" i="2" l="1"/>
  <c r="AQ5" i="2" s="1"/>
  <c r="AP5" i="2"/>
  <c r="AO23" i="2"/>
  <c r="AQ28" i="2"/>
  <c r="AQ4" i="2"/>
  <c r="AP12" i="2"/>
  <c r="AP22" i="2"/>
  <c r="AP4" i="2"/>
  <c r="AQ17" i="2"/>
  <c r="AP23" i="2" l="1"/>
  <c r="AQ12" i="2"/>
  <c r="AQ22" i="2"/>
  <c r="AQ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AD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E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F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G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H20" i="2" l="1"/>
  <c r="M24" i="2"/>
  <c r="M19" i="2"/>
  <c r="U3" i="2"/>
  <c r="U27" i="2" s="1"/>
  <c r="AI20" i="2" l="1"/>
  <c r="AJ20" i="2" l="1"/>
  <c r="L75" i="2"/>
  <c r="K75" i="2"/>
  <c r="I75" i="2"/>
  <c r="G75" i="2"/>
  <c r="H75" i="2"/>
  <c r="F75" i="2"/>
  <c r="H79" i="2" l="1"/>
  <c r="G79" i="2"/>
  <c r="I79" i="2"/>
  <c r="L79" i="2"/>
  <c r="K79" i="2"/>
  <c r="AK20" i="2"/>
  <c r="AK18" i="1"/>
  <c r="U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B13" i="2" s="1"/>
  <c r="AC13" i="2" s="1"/>
  <c r="L11" i="2"/>
  <c r="AD13" i="2" l="1"/>
  <c r="AL20" i="2"/>
  <c r="L12" i="2"/>
  <c r="L23" i="2" s="1"/>
  <c r="L66" i="2"/>
  <c r="L67" i="2" s="1"/>
  <c r="K36" i="2"/>
  <c r="T34" i="2"/>
  <c r="L16" i="2" l="1"/>
  <c r="L25" i="2" s="1"/>
  <c r="AE13" i="2"/>
  <c r="AM20" i="2"/>
  <c r="L77" i="2"/>
  <c r="T36" i="2"/>
  <c r="U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F13" i="2"/>
  <c r="L19" i="2"/>
  <c r="AN20" i="2"/>
  <c r="U36" i="2"/>
  <c r="S3" i="2"/>
  <c r="S27" i="2" s="1"/>
  <c r="S6" i="2"/>
  <c r="S7" i="2"/>
  <c r="S8" i="2"/>
  <c r="S9" i="2"/>
  <c r="S13" i="2"/>
  <c r="S14" i="2"/>
  <c r="S15" i="2"/>
  <c r="S17" i="2"/>
  <c r="D35" i="2"/>
  <c r="E35" i="2"/>
  <c r="H35" i="2"/>
  <c r="I35" i="2"/>
  <c r="G36" i="2"/>
  <c r="H36" i="2"/>
  <c r="F34" i="2"/>
  <c r="J34" i="2"/>
  <c r="I36" i="2"/>
  <c r="L24" i="2" l="1"/>
  <c r="F35" i="2"/>
  <c r="Z34" i="2"/>
  <c r="AA34" i="2"/>
  <c r="AB36" i="2" s="1"/>
  <c r="H82" i="2"/>
  <c r="I82" i="2"/>
  <c r="G82" i="2"/>
  <c r="J35" i="2"/>
  <c r="M82" i="2"/>
  <c r="K82" i="2"/>
  <c r="L82" i="2"/>
  <c r="AG13" i="2"/>
  <c r="AO20" i="2"/>
  <c r="N36" i="2"/>
  <c r="S5" i="2"/>
  <c r="S22" i="2" s="1"/>
  <c r="S28" i="2"/>
  <c r="S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A36" i="2" l="1"/>
  <c r="AH13" i="2"/>
  <c r="AP20" i="2"/>
  <c r="AJ17" i="1"/>
  <c r="AK17" i="1"/>
  <c r="S4" i="2"/>
  <c r="S12" i="2"/>
  <c r="S23" i="2" s="1"/>
  <c r="AJ18" i="1"/>
  <c r="AI13" i="2" l="1"/>
  <c r="AQ20" i="2"/>
  <c r="S16" i="2"/>
  <c r="S18" i="2" s="1"/>
  <c r="T6" i="2"/>
  <c r="T3" i="2"/>
  <c r="AJ13" i="2" l="1"/>
  <c r="S25" i="2"/>
  <c r="S24" i="2"/>
  <c r="S19" i="2"/>
  <c r="AK13" i="2" l="1"/>
  <c r="T27" i="2"/>
  <c r="T17" i="2"/>
  <c r="T10" i="2"/>
  <c r="U10" i="2" s="1"/>
  <c r="T9" i="2"/>
  <c r="U9" i="2" s="1"/>
  <c r="T8" i="2"/>
  <c r="U8" i="2" s="1"/>
  <c r="U7" i="2"/>
  <c r="T7" i="2"/>
  <c r="U6" i="2"/>
  <c r="U5" i="2"/>
  <c r="T5" i="2"/>
  <c r="AL13" i="2" l="1"/>
  <c r="U30" i="2"/>
  <c r="U31" i="2"/>
  <c r="K61" i="2"/>
  <c r="K64" i="2" s="1"/>
  <c r="K49" i="2"/>
  <c r="K51" i="2" s="1"/>
  <c r="K28" i="2"/>
  <c r="K27" i="2"/>
  <c r="K15" i="2"/>
  <c r="AB15" i="2" s="1"/>
  <c r="AC15" i="2" s="1"/>
  <c r="K11" i="2"/>
  <c r="K5" i="2"/>
  <c r="K22" i="2" s="1"/>
  <c r="P14" i="3"/>
  <c r="T16" i="3" s="1"/>
  <c r="AD15" i="2" l="1"/>
  <c r="AC16" i="2"/>
  <c r="AM13" i="2"/>
  <c r="K66" i="2"/>
  <c r="K67" i="2" s="1"/>
  <c r="K77" i="2" s="1"/>
  <c r="Q15" i="3"/>
  <c r="P16" i="3"/>
  <c r="P15" i="3"/>
  <c r="K12" i="2"/>
  <c r="P4" i="3"/>
  <c r="AN13" i="2" l="1"/>
  <c r="AC18" i="2"/>
  <c r="AC25" i="2"/>
  <c r="AE15" i="2"/>
  <c r="AD16" i="2"/>
  <c r="K16" i="2"/>
  <c r="K23" i="2"/>
  <c r="P3" i="3"/>
  <c r="AD25" i="2" l="1"/>
  <c r="AD18" i="2"/>
  <c r="AF15" i="2"/>
  <c r="AE16" i="2"/>
  <c r="AC24" i="2"/>
  <c r="AC19" i="2"/>
  <c r="AO13" i="2"/>
  <c r="K18" i="2"/>
  <c r="K85" i="2" s="1"/>
  <c r="K25" i="2"/>
  <c r="W14" i="3"/>
  <c r="W10" i="3"/>
  <c r="W6" i="3"/>
  <c r="W2" i="3"/>
  <c r="X10" i="3"/>
  <c r="X6" i="3"/>
  <c r="X2" i="3"/>
  <c r="AP13" i="2" l="1"/>
  <c r="AE18" i="2"/>
  <c r="AE25" i="2"/>
  <c r="AG15" i="2"/>
  <c r="AF16" i="2"/>
  <c r="AD24" i="2"/>
  <c r="AD19" i="2"/>
  <c r="K19" i="2"/>
  <c r="K24" i="2"/>
  <c r="U22" i="2"/>
  <c r="T22" i="2"/>
  <c r="U15" i="2"/>
  <c r="T15" i="2"/>
  <c r="U14" i="2"/>
  <c r="T14" i="2"/>
  <c r="Z14" i="2" s="1"/>
  <c r="Z16" i="2" s="1"/>
  <c r="U13" i="2"/>
  <c r="T13" i="2"/>
  <c r="X4" i="3"/>
  <c r="X14" i="3"/>
  <c r="Y14" i="3"/>
  <c r="Y10" i="3"/>
  <c r="Y6" i="3"/>
  <c r="Y2" i="3"/>
  <c r="Y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F18" i="2" l="1"/>
  <c r="AF25" i="2"/>
  <c r="AH15" i="2"/>
  <c r="AG16" i="2"/>
  <c r="AE24" i="2"/>
  <c r="AE19" i="2"/>
  <c r="AQ13" i="2"/>
  <c r="Z18" i="2"/>
  <c r="Z25" i="2"/>
  <c r="AT24" i="2"/>
  <c r="Y16" i="3"/>
  <c r="T4" i="2"/>
  <c r="U28" i="2"/>
  <c r="T28" i="2"/>
  <c r="T11" i="2"/>
  <c r="T12" i="2" s="1"/>
  <c r="U4" i="2"/>
  <c r="U17" i="2"/>
  <c r="Y12" i="3"/>
  <c r="X16" i="3"/>
  <c r="X12" i="3"/>
  <c r="X8" i="3"/>
  <c r="Y8" i="3"/>
  <c r="C12" i="1"/>
  <c r="E7" i="3"/>
  <c r="E15" i="3" s="1"/>
  <c r="F3" i="3"/>
  <c r="F7" i="3"/>
  <c r="AG18" i="2" l="1"/>
  <c r="AG25" i="2"/>
  <c r="AI15" i="2"/>
  <c r="AH16" i="2"/>
  <c r="AF24" i="2"/>
  <c r="AF19" i="2"/>
  <c r="Z19" i="2"/>
  <c r="Z24" i="2"/>
  <c r="U11" i="2"/>
  <c r="U12" i="2" s="1"/>
  <c r="T23" i="2"/>
  <c r="T16" i="2"/>
  <c r="F15" i="3"/>
  <c r="AH18" i="2" l="1"/>
  <c r="AH25" i="2"/>
  <c r="AJ15" i="2"/>
  <c r="AI16" i="2"/>
  <c r="AG24" i="2"/>
  <c r="AG19" i="2"/>
  <c r="T18" i="2"/>
  <c r="T25" i="2"/>
  <c r="N11" i="2"/>
  <c r="N12" i="2" s="1"/>
  <c r="O81" i="2" s="1"/>
  <c r="U23" i="2"/>
  <c r="U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AI25" i="2" l="1"/>
  <c r="AI18" i="2"/>
  <c r="AK15" i="2"/>
  <c r="AJ16" i="2"/>
  <c r="AH24" i="2"/>
  <c r="AH19" i="2"/>
  <c r="N16" i="2"/>
  <c r="AB16" i="2" s="1"/>
  <c r="AB25" i="2" s="1"/>
  <c r="N23" i="2"/>
  <c r="N81" i="2"/>
  <c r="U18" i="2"/>
  <c r="U25" i="2"/>
  <c r="D12" i="2"/>
  <c r="D16" i="2" s="1"/>
  <c r="E12" i="2"/>
  <c r="E16" i="2" s="1"/>
  <c r="E18" i="2" s="1"/>
  <c r="C12" i="2"/>
  <c r="C16" i="2" s="1"/>
  <c r="AL15" i="2" l="1"/>
  <c r="AK16" i="2"/>
  <c r="AJ18" i="2"/>
  <c r="AJ25" i="2"/>
  <c r="AI24" i="2"/>
  <c r="AI19" i="2"/>
  <c r="N18" i="2"/>
  <c r="AB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J24" i="2" l="1"/>
  <c r="AJ19" i="2"/>
  <c r="AK18" i="2"/>
  <c r="AK25" i="2"/>
  <c r="AM15" i="2"/>
  <c r="AL16" i="2"/>
  <c r="N85" i="2"/>
  <c r="N24" i="2"/>
  <c r="AB19" i="2"/>
  <c r="AB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L18" i="2" l="1"/>
  <c r="AL25" i="2"/>
  <c r="AK24" i="2"/>
  <c r="AK19" i="2"/>
  <c r="AN15" i="2"/>
  <c r="AM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M25" i="2" l="1"/>
  <c r="AM18" i="2"/>
  <c r="AO15" i="2"/>
  <c r="AN16" i="2"/>
  <c r="AL24" i="2"/>
  <c r="AL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N18" i="2" l="1"/>
  <c r="AN25" i="2"/>
  <c r="AP15" i="2"/>
  <c r="AO16" i="2"/>
  <c r="J69" i="2"/>
  <c r="J71" i="2" s="1"/>
  <c r="J75" i="2" s="1"/>
  <c r="AM24" i="2"/>
  <c r="AM19" i="2"/>
  <c r="J51" i="2"/>
  <c r="F12" i="2"/>
  <c r="I12" i="2"/>
  <c r="H12" i="2"/>
  <c r="G5" i="2"/>
  <c r="G22" i="2" s="1"/>
  <c r="G11" i="2"/>
  <c r="J79" i="2" l="1"/>
  <c r="J82" i="2"/>
  <c r="AQ15" i="2"/>
  <c r="AQ16" i="2" s="1"/>
  <c r="AP16" i="2"/>
  <c r="AO18" i="2"/>
  <c r="AO25" i="2"/>
  <c r="AN24" i="2"/>
  <c r="AN19" i="2"/>
  <c r="I16" i="2"/>
  <c r="H16" i="2"/>
  <c r="H25" i="2" s="1"/>
  <c r="J66" i="2"/>
  <c r="J67" i="2" s="1"/>
  <c r="J77" i="2" s="1"/>
  <c r="F16" i="2"/>
  <c r="F25" i="2" s="1"/>
  <c r="F23" i="2"/>
  <c r="H18" i="2"/>
  <c r="H85" i="2" s="1"/>
  <c r="G12" i="2"/>
  <c r="G81" i="2" s="1"/>
  <c r="I23" i="2"/>
  <c r="H23" i="2"/>
  <c r="J5" i="2"/>
  <c r="J22" i="2" s="1"/>
  <c r="J11" i="2"/>
  <c r="AP18" i="2" l="1"/>
  <c r="AP25" i="2"/>
  <c r="AQ18" i="2"/>
  <c r="AQ25" i="2"/>
  <c r="AO24" i="2"/>
  <c r="AO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AR18" i="2" l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AQ24" i="2"/>
  <c r="AQ19" i="2"/>
  <c r="AP24" i="2"/>
  <c r="AP19" i="2"/>
  <c r="J16" i="2"/>
  <c r="M81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l="1"/>
  <c r="K80" i="2"/>
  <c r="J80" i="2"/>
  <c r="L80" i="2"/>
  <c r="T24" i="2"/>
  <c r="M4" i="3"/>
  <c r="L4" i="3"/>
  <c r="I4" i="3"/>
  <c r="I8" i="3" s="1"/>
  <c r="G16" i="3"/>
  <c r="T19" i="2" l="1"/>
  <c r="M8" i="3"/>
  <c r="K4" i="3"/>
  <c r="O8" i="3" s="1"/>
  <c r="G11" i="3"/>
  <c r="G4" i="3"/>
  <c r="U19" i="2" l="1"/>
  <c r="U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O80" i="2" l="1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H18" i="2"/>
  <c r="O7" i="3"/>
  <c r="K7" i="3"/>
  <c r="L7" i="3"/>
  <c r="J7" i="3"/>
  <c r="J15" i="3" s="1"/>
  <c r="BI18" i="2" l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O15" i="3"/>
  <c r="N15" i="3"/>
  <c r="L15" i="3"/>
  <c r="M15" i="3"/>
  <c r="K15" i="3"/>
  <c r="AT23" i="2" l="1"/>
  <c r="AT25" i="2" s="1"/>
  <c r="AT26" i="2" s="1"/>
  <c r="Z10" i="3"/>
  <c r="Z12" i="3" s="1"/>
  <c r="AT28" i="2" l="1"/>
  <c r="Z2" i="3"/>
  <c r="Z4" i="3" s="1"/>
  <c r="Z6" i="3"/>
  <c r="Z8" i="3" s="1"/>
  <c r="Z14" i="3" l="1"/>
  <c r="Z16" i="3" s="1"/>
</calcChain>
</file>

<file path=xl/sharedStrings.xml><?xml version="1.0" encoding="utf-8"?>
<sst xmlns="http://schemas.openxmlformats.org/spreadsheetml/2006/main" count="701" uniqueCount="366">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</sst>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6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5" fillId="0" borderId="0" applyFont="0" applyFill="0" applyBorder="0" applyAlignment="0" applyProtection="0"/>
    <xf numFmtId="0" fontId="40" fillId="2" borderId="0" applyNumberFormat="0" applyBorder="0" applyAlignment="0" applyProtection="0"/>
    <xf numFmtId="0" fontId="41" fillId="0" borderId="0" applyNumberFormat="0" applyFill="0" applyBorder="0" applyAlignment="0" applyProtection="0"/>
    <xf numFmtId="43" fontId="35" fillId="0" borderId="0" applyFont="0" applyFill="0" applyBorder="0" applyAlignment="0" applyProtection="0"/>
    <xf numFmtId="0" fontId="35" fillId="3" borderId="0" applyNumberFormat="0" applyBorder="0" applyAlignment="0" applyProtection="0"/>
  </cellStyleXfs>
  <cellXfs count="324">
    <xf numFmtId="0" fontId="0" fillId="0" borderId="0" xfId="0"/>
    <xf numFmtId="0" fontId="37" fillId="0" borderId="0" xfId="0" applyFont="1"/>
    <xf numFmtId="0" fontId="37" fillId="0" borderId="0" xfId="0" applyFont="1" applyAlignment="1">
      <alignment horizontal="right"/>
    </xf>
    <xf numFmtId="165" fontId="37" fillId="0" borderId="0" xfId="0" applyNumberFormat="1" applyFont="1"/>
    <xf numFmtId="165" fontId="37" fillId="0" borderId="0" xfId="0" applyNumberFormat="1" applyFont="1" applyAlignment="1">
      <alignment horizontal="right"/>
    </xf>
    <xf numFmtId="165" fontId="34" fillId="0" borderId="0" xfId="0" applyNumberFormat="1" applyFont="1" applyAlignment="1">
      <alignment horizontal="right"/>
    </xf>
    <xf numFmtId="0" fontId="34" fillId="0" borderId="0" xfId="0" applyFont="1"/>
    <xf numFmtId="0" fontId="34" fillId="0" borderId="0" xfId="0" applyFont="1" applyAlignment="1">
      <alignment horizontal="right"/>
    </xf>
    <xf numFmtId="4" fontId="34" fillId="0" borderId="0" xfId="0" applyNumberFormat="1" applyFont="1" applyAlignment="1">
      <alignment horizontal="right"/>
    </xf>
    <xf numFmtId="165" fontId="34" fillId="0" borderId="0" xfId="0" applyNumberFormat="1" applyFont="1"/>
    <xf numFmtId="9" fontId="34" fillId="0" borderId="0" xfId="1" applyFont="1" applyAlignment="1">
      <alignment horizontal="right"/>
    </xf>
    <xf numFmtId="0" fontId="33" fillId="0" borderId="0" xfId="0" applyFont="1"/>
    <xf numFmtId="0" fontId="38" fillId="0" borderId="0" xfId="0" applyFont="1"/>
    <xf numFmtId="9" fontId="37" fillId="0" borderId="0" xfId="1" applyFont="1" applyAlignment="1">
      <alignment horizontal="right"/>
    </xf>
    <xf numFmtId="165" fontId="32" fillId="0" borderId="0" xfId="0" applyNumberFormat="1" applyFont="1" applyAlignment="1">
      <alignment horizontal="right"/>
    </xf>
    <xf numFmtId="0" fontId="32" fillId="0" borderId="0" xfId="0" applyFont="1"/>
    <xf numFmtId="0" fontId="32" fillId="0" borderId="0" xfId="0" applyFont="1" applyAlignment="1">
      <alignment horizontal="right"/>
    </xf>
    <xf numFmtId="0" fontId="39" fillId="0" borderId="0" xfId="0" applyFont="1"/>
    <xf numFmtId="165" fontId="30" fillId="0" borderId="0" xfId="0" applyNumberFormat="1" applyFont="1" applyAlignment="1">
      <alignment horizontal="right"/>
    </xf>
    <xf numFmtId="0" fontId="40" fillId="2" borderId="0" xfId="2"/>
    <xf numFmtId="0" fontId="40" fillId="2" borderId="0" xfId="2" applyAlignment="1">
      <alignment horizontal="left" indent="1"/>
    </xf>
    <xf numFmtId="0" fontId="41" fillId="2" borderId="0" xfId="3" applyFill="1" applyAlignment="1">
      <alignment horizontal="left" indent="1"/>
    </xf>
    <xf numFmtId="0" fontId="29" fillId="0" borderId="0" xfId="0" applyFont="1"/>
    <xf numFmtId="9" fontId="34" fillId="0" borderId="0" xfId="1" applyFont="1"/>
    <xf numFmtId="0" fontId="29" fillId="0" borderId="0" xfId="0" applyFont="1" applyAlignment="1">
      <alignment horizontal="right"/>
    </xf>
    <xf numFmtId="0" fontId="37" fillId="0" borderId="1" xfId="0" applyFont="1" applyBorder="1" applyAlignment="1">
      <alignment horizontal="right"/>
    </xf>
    <xf numFmtId="0" fontId="37" fillId="0" borderId="2" xfId="0" applyFont="1" applyBorder="1"/>
    <xf numFmtId="0" fontId="29" fillId="0" borderId="2" xfId="0" applyFont="1" applyBorder="1"/>
    <xf numFmtId="9" fontId="29" fillId="0" borderId="0" xfId="1" applyFont="1"/>
    <xf numFmtId="0" fontId="37" fillId="0" borderId="3" xfId="0" applyFont="1" applyBorder="1"/>
    <xf numFmtId="0" fontId="42" fillId="0" borderId="0" xfId="0" applyFont="1" applyAlignment="1">
      <alignment horizontal="right" vertical="center"/>
    </xf>
    <xf numFmtId="166" fontId="37" fillId="0" borderId="0" xfId="4" applyNumberFormat="1" applyFont="1"/>
    <xf numFmtId="9" fontId="37" fillId="0" borderId="0" xfId="1" applyFont="1"/>
    <xf numFmtId="14" fontId="44" fillId="0" borderId="0" xfId="0" applyNumberFormat="1" applyFont="1" applyAlignment="1">
      <alignment horizontal="right"/>
    </xf>
    <xf numFmtId="4" fontId="34" fillId="0" borderId="0" xfId="0" applyNumberFormat="1" applyFont="1"/>
    <xf numFmtId="14" fontId="44" fillId="0" borderId="0" xfId="0" applyNumberFormat="1" applyFont="1"/>
    <xf numFmtId="165" fontId="29" fillId="0" borderId="0" xfId="0" applyNumberFormat="1" applyFont="1"/>
    <xf numFmtId="168" fontId="29" fillId="0" borderId="0" xfId="0" applyNumberFormat="1" applyFont="1"/>
    <xf numFmtId="0" fontId="37" fillId="5" borderId="7" xfId="0" applyFont="1" applyFill="1" applyBorder="1"/>
    <xf numFmtId="165" fontId="29" fillId="0" borderId="2" xfId="0" applyNumberFormat="1" applyFont="1" applyBorder="1"/>
    <xf numFmtId="0" fontId="37" fillId="5" borderId="8" xfId="0" applyFont="1" applyFill="1" applyBorder="1"/>
    <xf numFmtId="165" fontId="29" fillId="0" borderId="3" xfId="0" applyNumberFormat="1" applyFont="1" applyBorder="1"/>
    <xf numFmtId="0" fontId="29" fillId="0" borderId="2" xfId="5" applyFont="1" applyFill="1" applyBorder="1"/>
    <xf numFmtId="165" fontId="34" fillId="0" borderId="1" xfId="0" applyNumberFormat="1" applyFont="1" applyBorder="1"/>
    <xf numFmtId="0" fontId="43" fillId="0" borderId="0" xfId="0" applyFont="1"/>
    <xf numFmtId="168" fontId="34" fillId="0" borderId="0" xfId="0" applyNumberFormat="1" applyFont="1" applyAlignment="1">
      <alignment horizontal="right"/>
    </xf>
    <xf numFmtId="169" fontId="34" fillId="0" borderId="0" xfId="0" applyNumberFormat="1" applyFont="1"/>
    <xf numFmtId="168" fontId="34" fillId="0" borderId="0" xfId="0" applyNumberFormat="1" applyFont="1"/>
    <xf numFmtId="0" fontId="45" fillId="0" borderId="0" xfId="0" applyFont="1" applyAlignment="1">
      <alignment horizontal="right"/>
    </xf>
    <xf numFmtId="0" fontId="28" fillId="0" borderId="0" xfId="0" applyFont="1"/>
    <xf numFmtId="9" fontId="28" fillId="0" borderId="0" xfId="1" applyFont="1"/>
    <xf numFmtId="167" fontId="34" fillId="0" borderId="0" xfId="0" applyNumberFormat="1" applyFont="1" applyAlignment="1">
      <alignment horizontal="right"/>
    </xf>
    <xf numFmtId="1" fontId="34" fillId="0" borderId="0" xfId="0" applyNumberFormat="1" applyFont="1"/>
    <xf numFmtId="17" fontId="46" fillId="0" borderId="1" xfId="0" applyNumberFormat="1" applyFont="1" applyBorder="1" applyAlignment="1">
      <alignment horizontal="right"/>
    </xf>
    <xf numFmtId="0" fontId="46" fillId="0" borderId="0" xfId="0" applyFont="1"/>
    <xf numFmtId="0" fontId="47" fillId="0" borderId="0" xfId="0" applyFont="1" applyAlignment="1">
      <alignment horizontal="right"/>
    </xf>
    <xf numFmtId="9" fontId="47" fillId="0" borderId="0" xfId="0" applyNumberFormat="1" applyFont="1" applyAlignment="1">
      <alignment horizontal="right"/>
    </xf>
    <xf numFmtId="0" fontId="47" fillId="0" borderId="0" xfId="0" applyFont="1"/>
    <xf numFmtId="166" fontId="46" fillId="0" borderId="0" xfId="4" applyNumberFormat="1" applyFont="1"/>
    <xf numFmtId="0" fontId="48" fillId="0" borderId="0" xfId="0" applyFont="1" applyAlignment="1">
      <alignment horizontal="right"/>
    </xf>
    <xf numFmtId="0" fontId="34" fillId="0" borderId="2" xfId="0" applyFont="1" applyBorder="1"/>
    <xf numFmtId="166" fontId="34" fillId="0" borderId="0" xfId="4" applyNumberFormat="1" applyFont="1"/>
    <xf numFmtId="43" fontId="34" fillId="0" borderId="0" xfId="4" applyFont="1"/>
    <xf numFmtId="164" fontId="34" fillId="0" borderId="0" xfId="0" applyNumberFormat="1" applyFont="1"/>
    <xf numFmtId="0" fontId="37" fillId="8" borderId="0" xfId="0" applyFont="1" applyFill="1" applyAlignment="1">
      <alignment horizontal="right"/>
    </xf>
    <xf numFmtId="0" fontId="45" fillId="8" borderId="0" xfId="0" applyFont="1" applyFill="1" applyAlignment="1">
      <alignment horizontal="right"/>
    </xf>
    <xf numFmtId="165" fontId="37" fillId="8" borderId="0" xfId="0" applyNumberFormat="1" applyFont="1" applyFill="1" applyAlignment="1">
      <alignment horizontal="right"/>
    </xf>
    <xf numFmtId="165" fontId="34" fillId="8" borderId="0" xfId="0" applyNumberFormat="1" applyFont="1" applyFill="1" applyAlignment="1">
      <alignment horizontal="right"/>
    </xf>
    <xf numFmtId="169" fontId="37" fillId="8" borderId="0" xfId="0" applyNumberFormat="1" applyFont="1" applyFill="1" applyAlignment="1">
      <alignment horizontal="right"/>
    </xf>
    <xf numFmtId="169" fontId="34" fillId="8" borderId="0" xfId="1" applyNumberFormat="1" applyFont="1" applyFill="1" applyAlignment="1">
      <alignment horizontal="right"/>
    </xf>
    <xf numFmtId="169" fontId="34" fillId="8" borderId="0" xfId="0" applyNumberFormat="1" applyFont="1" applyFill="1" applyAlignment="1">
      <alignment horizontal="right"/>
    </xf>
    <xf numFmtId="0" fontId="34" fillId="8" borderId="0" xfId="0" applyFont="1" applyFill="1" applyAlignment="1">
      <alignment horizontal="right"/>
    </xf>
    <xf numFmtId="168" fontId="34" fillId="8" borderId="0" xfId="0" applyNumberFormat="1" applyFont="1" applyFill="1" applyAlignment="1">
      <alignment horizontal="right"/>
    </xf>
    <xf numFmtId="4" fontId="34" fillId="8" borderId="0" xfId="0" applyNumberFormat="1" applyFont="1" applyFill="1" applyAlignment="1">
      <alignment horizontal="right"/>
    </xf>
    <xf numFmtId="9" fontId="34" fillId="8" borderId="0" xfId="1" applyFont="1" applyFill="1" applyAlignment="1">
      <alignment horizontal="right"/>
    </xf>
    <xf numFmtId="9" fontId="37" fillId="8" borderId="0" xfId="1" applyFont="1" applyFill="1" applyAlignment="1">
      <alignment horizontal="right"/>
    </xf>
    <xf numFmtId="165" fontId="50" fillId="0" borderId="0" xfId="0" applyNumberFormat="1" applyFont="1" applyAlignment="1">
      <alignment horizontal="right"/>
    </xf>
    <xf numFmtId="0" fontId="50" fillId="0" borderId="0" xfId="0" applyFont="1" applyAlignment="1">
      <alignment horizontal="right"/>
    </xf>
    <xf numFmtId="9" fontId="29" fillId="0" borderId="0" xfId="1" applyFont="1" applyBorder="1"/>
    <xf numFmtId="0" fontId="27" fillId="0" borderId="0" xfId="0" applyFont="1"/>
    <xf numFmtId="9" fontId="34" fillId="0" borderId="0" xfId="0" applyNumberFormat="1" applyFont="1" applyAlignment="1">
      <alignment horizontal="right"/>
    </xf>
    <xf numFmtId="165" fontId="37" fillId="0" borderId="0" xfId="1" applyNumberFormat="1" applyFont="1" applyAlignment="1">
      <alignment horizontal="right"/>
    </xf>
    <xf numFmtId="0" fontId="27" fillId="7" borderId="0" xfId="0" applyFont="1" applyFill="1" applyAlignment="1">
      <alignment horizontal="left"/>
    </xf>
    <xf numFmtId="0" fontId="34" fillId="6" borderId="7" xfId="0" applyFont="1" applyFill="1" applyBorder="1"/>
    <xf numFmtId="0" fontId="34" fillId="6" borderId="8" xfId="0" applyFont="1" applyFill="1" applyBorder="1"/>
    <xf numFmtId="0" fontId="27" fillId="6" borderId="7" xfId="0" applyFont="1" applyFill="1" applyBorder="1" applyAlignment="1">
      <alignment horizontal="center" vertical="center"/>
    </xf>
    <xf numFmtId="0" fontId="26" fillId="0" borderId="0" xfId="0" applyFont="1"/>
    <xf numFmtId="0" fontId="26" fillId="6" borderId="7" xfId="0" applyFont="1" applyFill="1" applyBorder="1" applyAlignment="1">
      <alignment horizontal="left" indent="1"/>
    </xf>
    <xf numFmtId="0" fontId="34" fillId="6" borderId="0" xfId="0" applyFont="1" applyFill="1"/>
    <xf numFmtId="0" fontId="34" fillId="6" borderId="2" xfId="0" applyFont="1" applyFill="1" applyBorder="1"/>
    <xf numFmtId="0" fontId="37" fillId="6" borderId="7" xfId="0" applyFont="1" applyFill="1" applyBorder="1"/>
    <xf numFmtId="0" fontId="31" fillId="6" borderId="0" xfId="0" applyFont="1" applyFill="1"/>
    <xf numFmtId="0" fontId="26" fillId="6" borderId="8" xfId="0" applyFont="1" applyFill="1" applyBorder="1" applyAlignment="1">
      <alignment horizontal="left" indent="1"/>
    </xf>
    <xf numFmtId="0" fontId="34" fillId="6" borderId="1" xfId="0" applyFont="1" applyFill="1" applyBorder="1"/>
    <xf numFmtId="0" fontId="31" fillId="6" borderId="1" xfId="0" applyFont="1" applyFill="1" applyBorder="1"/>
    <xf numFmtId="0" fontId="34" fillId="6" borderId="3" xfId="0" applyFont="1" applyFill="1" applyBorder="1"/>
    <xf numFmtId="0" fontId="26" fillId="6" borderId="7" xfId="0" applyFont="1" applyFill="1" applyBorder="1" applyAlignment="1">
      <alignment horizontal="left" indent="3"/>
    </xf>
    <xf numFmtId="0" fontId="26" fillId="6" borderId="7" xfId="0" applyFont="1" applyFill="1" applyBorder="1" applyAlignment="1">
      <alignment horizontal="center" vertical="center"/>
    </xf>
    <xf numFmtId="0" fontId="34" fillId="9" borderId="0" xfId="0" applyFont="1" applyFill="1"/>
    <xf numFmtId="43" fontId="25" fillId="0" borderId="0" xfId="4" applyFont="1" applyAlignment="1">
      <alignment horizontal="right"/>
    </xf>
    <xf numFmtId="0" fontId="24" fillId="6" borderId="7" xfId="0" applyFont="1" applyFill="1" applyBorder="1" applyAlignment="1">
      <alignment horizontal="left"/>
    </xf>
    <xf numFmtId="0" fontId="23" fillId="0" borderId="0" xfId="0" applyFont="1"/>
    <xf numFmtId="2" fontId="29" fillId="0" borderId="0" xfId="0" applyNumberFormat="1" applyFont="1"/>
    <xf numFmtId="0" fontId="34" fillId="10" borderId="0" xfId="0" applyFont="1" applyFill="1"/>
    <xf numFmtId="17" fontId="46" fillId="10" borderId="1" xfId="0" applyNumberFormat="1" applyFont="1" applyFill="1" applyBorder="1" applyAlignment="1">
      <alignment horizontal="right"/>
    </xf>
    <xf numFmtId="0" fontId="37" fillId="10" borderId="0" xfId="0" applyFont="1" applyFill="1"/>
    <xf numFmtId="0" fontId="29" fillId="10" borderId="0" xfId="0" applyFont="1" applyFill="1" applyAlignment="1">
      <alignment horizontal="right"/>
    </xf>
    <xf numFmtId="166" fontId="37" fillId="10" borderId="0" xfId="4" applyNumberFormat="1" applyFont="1" applyFill="1"/>
    <xf numFmtId="0" fontId="37" fillId="11" borderId="0" xfId="0" applyFont="1" applyFill="1" applyAlignment="1">
      <alignment horizontal="right"/>
    </xf>
    <xf numFmtId="0" fontId="45" fillId="11" borderId="0" xfId="0" applyFont="1" applyFill="1" applyAlignment="1">
      <alignment horizontal="right"/>
    </xf>
    <xf numFmtId="165" fontId="37" fillId="11" borderId="0" xfId="0" applyNumberFormat="1" applyFont="1" applyFill="1" applyAlignment="1">
      <alignment horizontal="right"/>
    </xf>
    <xf numFmtId="165" fontId="34" fillId="11" borderId="0" xfId="0" applyNumberFormat="1" applyFont="1" applyFill="1" applyAlignment="1">
      <alignment horizontal="right"/>
    </xf>
    <xf numFmtId="9" fontId="34" fillId="11" borderId="0" xfId="1" applyFont="1" applyFill="1" applyAlignment="1">
      <alignment horizontal="right"/>
    </xf>
    <xf numFmtId="9" fontId="37" fillId="11" borderId="0" xfId="1" applyFont="1" applyFill="1" applyAlignment="1">
      <alignment horizontal="right"/>
    </xf>
    <xf numFmtId="165" fontId="37" fillId="11" borderId="0" xfId="0" applyNumberFormat="1" applyFont="1" applyFill="1"/>
    <xf numFmtId="165" fontId="34" fillId="11" borderId="0" xfId="0" applyNumberFormat="1" applyFont="1" applyFill="1"/>
    <xf numFmtId="4" fontId="34" fillId="11" borderId="0" xfId="0" applyNumberFormat="1" applyFont="1" applyFill="1"/>
    <xf numFmtId="0" fontId="34" fillId="11" borderId="0" xfId="0" applyFont="1" applyFill="1"/>
    <xf numFmtId="9" fontId="22" fillId="0" borderId="0" xfId="1" applyFont="1" applyAlignment="1">
      <alignment horizontal="right"/>
    </xf>
    <xf numFmtId="165" fontId="29" fillId="0" borderId="0" xfId="0" applyNumberFormat="1" applyFont="1" applyAlignment="1">
      <alignment horizontal="right"/>
    </xf>
    <xf numFmtId="165" fontId="37" fillId="0" borderId="0" xfId="4" applyNumberFormat="1" applyFont="1"/>
    <xf numFmtId="9" fontId="22" fillId="0" borderId="0" xfId="1" applyFont="1"/>
    <xf numFmtId="9" fontId="34" fillId="6" borderId="6" xfId="0" applyNumberFormat="1" applyFont="1" applyFill="1" applyBorder="1"/>
    <xf numFmtId="9" fontId="34" fillId="6" borderId="2" xfId="0" applyNumberFormat="1" applyFont="1" applyFill="1" applyBorder="1"/>
    <xf numFmtId="170" fontId="34" fillId="6" borderId="2" xfId="0" applyNumberFormat="1" applyFont="1" applyFill="1" applyBorder="1"/>
    <xf numFmtId="2" fontId="37" fillId="6" borderId="2" xfId="0" applyNumberFormat="1" applyFont="1" applyFill="1" applyBorder="1"/>
    <xf numFmtId="0" fontId="29" fillId="6" borderId="2" xfId="0" applyFont="1" applyFill="1" applyBorder="1"/>
    <xf numFmtId="9" fontId="29" fillId="6" borderId="3" xfId="1" applyFont="1" applyFill="1" applyBorder="1"/>
    <xf numFmtId="0" fontId="29" fillId="5" borderId="4" xfId="0" applyFont="1" applyFill="1" applyBorder="1"/>
    <xf numFmtId="0" fontId="29" fillId="5" borderId="7" xfId="0" applyFont="1" applyFill="1" applyBorder="1"/>
    <xf numFmtId="0" fontId="28" fillId="5" borderId="7" xfId="0" applyFont="1" applyFill="1" applyBorder="1"/>
    <xf numFmtId="0" fontId="28" fillId="5" borderId="8" xfId="0" applyFont="1" applyFill="1" applyBorder="1"/>
    <xf numFmtId="0" fontId="47" fillId="11" borderId="0" xfId="0" applyFont="1" applyFill="1"/>
    <xf numFmtId="9" fontId="29" fillId="0" borderId="0" xfId="1" applyFont="1" applyAlignment="1">
      <alignment horizontal="right"/>
    </xf>
    <xf numFmtId="9" fontId="21" fillId="0" borderId="0" xfId="1" applyFont="1"/>
    <xf numFmtId="0" fontId="21" fillId="0" borderId="0" xfId="0" applyFont="1"/>
    <xf numFmtId="0" fontId="20" fillId="0" borderId="0" xfId="0" applyFont="1"/>
    <xf numFmtId="169" fontId="29" fillId="0" borderId="0" xfId="0" applyNumberFormat="1" applyFont="1"/>
    <xf numFmtId="0" fontId="34" fillId="5" borderId="7" xfId="0" applyFont="1" applyFill="1" applyBorder="1" applyAlignment="1">
      <alignment horizontal="center"/>
    </xf>
    <xf numFmtId="0" fontId="34" fillId="5" borderId="8" xfId="0" applyFont="1" applyFill="1" applyBorder="1" applyAlignment="1">
      <alignment horizontal="center"/>
    </xf>
    <xf numFmtId="0" fontId="51" fillId="6" borderId="0" xfId="0" applyFont="1" applyFill="1"/>
    <xf numFmtId="0" fontId="42" fillId="6" borderId="0" xfId="0" applyFont="1" applyFill="1"/>
    <xf numFmtId="0" fontId="47" fillId="6" borderId="0" xfId="0" applyFont="1" applyFill="1"/>
    <xf numFmtId="0" fontId="47" fillId="6" borderId="0" xfId="0" quotePrefix="1" applyFont="1" applyFill="1"/>
    <xf numFmtId="0" fontId="19" fillId="6" borderId="7" xfId="0" applyFont="1" applyFill="1" applyBorder="1" applyAlignment="1">
      <alignment horizontal="center"/>
    </xf>
    <xf numFmtId="0" fontId="26" fillId="6" borderId="7" xfId="0" applyFont="1" applyFill="1" applyBorder="1" applyAlignment="1">
      <alignment horizontal="center"/>
    </xf>
    <xf numFmtId="0" fontId="34" fillId="6" borderId="7" xfId="0" applyFont="1" applyFill="1" applyBorder="1" applyAlignment="1">
      <alignment horizontal="center"/>
    </xf>
    <xf numFmtId="43" fontId="51" fillId="6" borderId="0" xfId="4" applyFont="1" applyFill="1" applyBorder="1" applyAlignment="1">
      <alignment horizontal="left" indent="1"/>
    </xf>
    <xf numFmtId="17" fontId="52" fillId="5" borderId="7" xfId="0" applyNumberFormat="1" applyFont="1" applyFill="1" applyBorder="1" applyAlignment="1">
      <alignment horizontal="center"/>
    </xf>
    <xf numFmtId="165" fontId="53" fillId="0" borderId="0" xfId="0" applyNumberFormat="1" applyFont="1" applyAlignment="1">
      <alignment horizontal="right"/>
    </xf>
    <xf numFmtId="0" fontId="18" fillId="6" borderId="7" xfId="0" applyFont="1" applyFill="1" applyBorder="1" applyAlignment="1">
      <alignment horizontal="center"/>
    </xf>
    <xf numFmtId="0" fontId="37" fillId="5" borderId="7" xfId="0" applyFont="1" applyFill="1" applyBorder="1" applyAlignment="1">
      <alignment horizontal="center"/>
    </xf>
    <xf numFmtId="0" fontId="37" fillId="5" borderId="8" xfId="0" applyFont="1" applyFill="1" applyBorder="1" applyAlignment="1">
      <alignment horizontal="center"/>
    </xf>
    <xf numFmtId="0" fontId="54" fillId="0" borderId="0" xfId="3" applyFont="1" applyAlignment="1">
      <alignment horizontal="right"/>
    </xf>
    <xf numFmtId="0" fontId="37" fillId="12" borderId="0" xfId="0" applyFont="1" applyFill="1" applyAlignment="1">
      <alignment horizontal="right"/>
    </xf>
    <xf numFmtId="0" fontId="45" fillId="12" borderId="0" xfId="0" applyFont="1" applyFill="1" applyAlignment="1">
      <alignment horizontal="right"/>
    </xf>
    <xf numFmtId="165" fontId="37" fillId="12" borderId="0" xfId="0" applyNumberFormat="1" applyFont="1" applyFill="1" applyAlignment="1">
      <alignment horizontal="right"/>
    </xf>
    <xf numFmtId="165" fontId="34" fillId="12" borderId="0" xfId="0" applyNumberFormat="1" applyFont="1" applyFill="1" applyAlignment="1">
      <alignment horizontal="right"/>
    </xf>
    <xf numFmtId="169" fontId="37" fillId="12" borderId="0" xfId="0" applyNumberFormat="1" applyFont="1" applyFill="1" applyAlignment="1">
      <alignment horizontal="right"/>
    </xf>
    <xf numFmtId="169" fontId="34" fillId="12" borderId="0" xfId="1" applyNumberFormat="1" applyFont="1" applyFill="1" applyAlignment="1">
      <alignment horizontal="right"/>
    </xf>
    <xf numFmtId="169" fontId="34" fillId="12" borderId="0" xfId="0" applyNumberFormat="1" applyFont="1" applyFill="1" applyAlignment="1">
      <alignment horizontal="right"/>
    </xf>
    <xf numFmtId="168" fontId="34" fillId="12" borderId="0" xfId="0" applyNumberFormat="1" applyFont="1" applyFill="1" applyAlignment="1">
      <alignment horizontal="right"/>
    </xf>
    <xf numFmtId="4" fontId="34" fillId="12" borderId="0" xfId="0" applyNumberFormat="1" applyFont="1" applyFill="1" applyAlignment="1">
      <alignment horizontal="right"/>
    </xf>
    <xf numFmtId="0" fontId="34" fillId="12" borderId="0" xfId="0" applyFont="1" applyFill="1" applyAlignment="1">
      <alignment horizontal="right"/>
    </xf>
    <xf numFmtId="9" fontId="34" fillId="12" borderId="0" xfId="1" applyFont="1" applyFill="1" applyAlignment="1">
      <alignment horizontal="right"/>
    </xf>
    <xf numFmtId="9" fontId="37" fillId="12" borderId="0" xfId="1" applyFont="1" applyFill="1" applyAlignment="1">
      <alignment horizontal="right"/>
    </xf>
    <xf numFmtId="171" fontId="37" fillId="12" borderId="0" xfId="4" applyNumberFormat="1" applyFont="1" applyFill="1" applyAlignment="1">
      <alignment horizontal="right"/>
    </xf>
    <xf numFmtId="9" fontId="34" fillId="12" borderId="0" xfId="0" applyNumberFormat="1" applyFont="1" applyFill="1" applyAlignment="1">
      <alignment horizontal="right"/>
    </xf>
    <xf numFmtId="0" fontId="18" fillId="0" borderId="0" xfId="0" applyFont="1"/>
    <xf numFmtId="9" fontId="29" fillId="0" borderId="0" xfId="0" applyNumberFormat="1" applyFont="1"/>
    <xf numFmtId="14" fontId="48" fillId="0" borderId="0" xfId="0" applyNumberFormat="1" applyFont="1" applyAlignment="1">
      <alignment horizontal="right"/>
    </xf>
    <xf numFmtId="0" fontId="48" fillId="10" borderId="0" xfId="0" applyFont="1" applyFill="1" applyAlignment="1">
      <alignment horizontal="right"/>
    </xf>
    <xf numFmtId="0" fontId="46" fillId="10" borderId="0" xfId="0" applyFont="1" applyFill="1"/>
    <xf numFmtId="0" fontId="47" fillId="10" borderId="0" xfId="0" applyFont="1" applyFill="1" applyAlignment="1">
      <alignment horizontal="right"/>
    </xf>
    <xf numFmtId="9" fontId="47" fillId="10" borderId="0" xfId="0" applyNumberFormat="1" applyFont="1" applyFill="1" applyAlignment="1">
      <alignment horizontal="right"/>
    </xf>
    <xf numFmtId="0" fontId="47" fillId="10" borderId="0" xfId="0" applyFont="1" applyFill="1"/>
    <xf numFmtId="17" fontId="37" fillId="5" borderId="7" xfId="0" applyNumberFormat="1" applyFont="1" applyFill="1" applyBorder="1" applyAlignment="1">
      <alignment horizontal="center"/>
    </xf>
    <xf numFmtId="0" fontId="18" fillId="6" borderId="0" xfId="0" applyFont="1" applyFill="1"/>
    <xf numFmtId="0" fontId="18" fillId="6" borderId="0" xfId="0" applyFont="1" applyFill="1" applyAlignment="1">
      <alignment horizontal="left" indent="1"/>
    </xf>
    <xf numFmtId="0" fontId="18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0" fontId="16" fillId="0" borderId="0" xfId="0" applyFont="1"/>
    <xf numFmtId="0" fontId="55" fillId="0" borderId="0" xfId="0" applyFont="1"/>
    <xf numFmtId="165" fontId="47" fillId="0" borderId="0" xfId="0" applyNumberFormat="1" applyFont="1" applyAlignment="1">
      <alignment horizontal="right"/>
    </xf>
    <xf numFmtId="0" fontId="15" fillId="0" borderId="0" xfId="0" applyFont="1"/>
    <xf numFmtId="9" fontId="15" fillId="0" borderId="0" xfId="1" applyFont="1" applyAlignment="1">
      <alignment horizontal="right"/>
    </xf>
    <xf numFmtId="9" fontId="15" fillId="11" borderId="0" xfId="1" applyFont="1" applyFill="1" applyAlignment="1">
      <alignment horizontal="right"/>
    </xf>
    <xf numFmtId="9" fontId="15" fillId="8" borderId="0" xfId="1" applyFont="1" applyFill="1" applyAlignment="1">
      <alignment horizontal="right"/>
    </xf>
    <xf numFmtId="9" fontId="15" fillId="12" borderId="0" xfId="1" applyFont="1" applyFill="1" applyAlignment="1">
      <alignment horizontal="right"/>
    </xf>
    <xf numFmtId="172" fontId="34" fillId="0" borderId="0" xfId="0" applyNumberFormat="1" applyFont="1" applyAlignment="1">
      <alignment horizontal="right"/>
    </xf>
    <xf numFmtId="0" fontId="56" fillId="0" borderId="0" xfId="3" applyFont="1" applyAlignment="1">
      <alignment horizontal="right"/>
    </xf>
    <xf numFmtId="168" fontId="14" fillId="0" borderId="0" xfId="0" applyNumberFormat="1" applyFont="1" applyAlignment="1">
      <alignment horizontal="right"/>
    </xf>
    <xf numFmtId="9" fontId="46" fillId="8" borderId="0" xfId="1" applyFont="1" applyFill="1" applyAlignment="1">
      <alignment horizontal="right"/>
    </xf>
    <xf numFmtId="9" fontId="47" fillId="8" borderId="0" xfId="1" applyFont="1" applyFill="1" applyAlignment="1">
      <alignment horizontal="right"/>
    </xf>
    <xf numFmtId="171" fontId="37" fillId="8" borderId="0" xfId="4" applyNumberFormat="1" applyFont="1" applyFill="1" applyAlignment="1">
      <alignment horizontal="right"/>
    </xf>
    <xf numFmtId="9" fontId="34" fillId="8" borderId="0" xfId="0" applyNumberFormat="1" applyFont="1" applyFill="1" applyAlignment="1">
      <alignment horizontal="right"/>
    </xf>
    <xf numFmtId="0" fontId="14" fillId="0" borderId="0" xfId="0" applyFont="1"/>
    <xf numFmtId="9" fontId="14" fillId="0" borderId="0" xfId="1" applyFont="1" applyAlignment="1">
      <alignment horizontal="right"/>
    </xf>
    <xf numFmtId="14" fontId="48" fillId="10" borderId="0" xfId="0" applyNumberFormat="1" applyFont="1" applyFill="1" applyAlignment="1">
      <alignment horizontal="right"/>
    </xf>
    <xf numFmtId="166" fontId="46" fillId="10" borderId="0" xfId="4" applyNumberFormat="1" applyFont="1" applyFill="1"/>
    <xf numFmtId="0" fontId="13" fillId="0" borderId="0" xfId="0" applyFont="1"/>
    <xf numFmtId="0" fontId="13" fillId="0" borderId="0" xfId="0" applyFont="1" applyAlignment="1">
      <alignment horizontal="left" indent="1"/>
    </xf>
    <xf numFmtId="0" fontId="13" fillId="6" borderId="7" xfId="0" applyFont="1" applyFill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 indent="2"/>
    </xf>
    <xf numFmtId="3" fontId="37" fillId="0" borderId="0" xfId="0" applyNumberFormat="1" applyFont="1"/>
    <xf numFmtId="0" fontId="12" fillId="0" borderId="0" xfId="0" applyFont="1"/>
    <xf numFmtId="0" fontId="10" fillId="0" borderId="0" xfId="0" applyFont="1"/>
    <xf numFmtId="165" fontId="10" fillId="0" borderId="0" xfId="0" applyNumberFormat="1" applyFont="1"/>
    <xf numFmtId="165" fontId="0" fillId="0" borderId="0" xfId="0" applyNumberFormat="1"/>
    <xf numFmtId="165" fontId="12" fillId="0" borderId="0" xfId="0" applyNumberFormat="1" applyFont="1"/>
    <xf numFmtId="165" fontId="33" fillId="0" borderId="0" xfId="0" applyNumberFormat="1" applyFont="1"/>
    <xf numFmtId="165" fontId="38" fillId="0" borderId="0" xfId="0" applyNumberFormat="1" applyFont="1"/>
    <xf numFmtId="165" fontId="11" fillId="0" borderId="0" xfId="0" applyNumberFormat="1" applyFont="1"/>
    <xf numFmtId="165" fontId="43" fillId="0" borderId="0" xfId="0" applyNumberFormat="1" applyFont="1"/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37" fillId="13" borderId="0" xfId="0" applyNumberFormat="1" applyFont="1" applyFill="1"/>
    <xf numFmtId="169" fontId="34" fillId="0" borderId="0" xfId="1" applyNumberFormat="1" applyFont="1" applyFill="1" applyAlignment="1">
      <alignment horizontal="right"/>
    </xf>
    <xf numFmtId="169" fontId="34" fillId="0" borderId="0" xfId="0" applyNumberFormat="1" applyFont="1" applyAlignment="1">
      <alignment horizontal="right"/>
    </xf>
    <xf numFmtId="9" fontId="34" fillId="0" borderId="0" xfId="1" applyFont="1" applyFill="1" applyAlignment="1">
      <alignment horizontal="right"/>
    </xf>
    <xf numFmtId="9" fontId="37" fillId="0" borderId="0" xfId="1" applyFont="1" applyFill="1" applyAlignment="1">
      <alignment horizontal="right"/>
    </xf>
    <xf numFmtId="9" fontId="15" fillId="0" borderId="0" xfId="1" applyFont="1" applyFill="1" applyAlignment="1">
      <alignment horizontal="right"/>
    </xf>
    <xf numFmtId="171" fontId="37" fillId="0" borderId="0" xfId="4" applyNumberFormat="1" applyFont="1" applyFill="1" applyAlignment="1">
      <alignment horizontal="right"/>
    </xf>
    <xf numFmtId="165" fontId="26" fillId="0" borderId="0" xfId="0" applyNumberFormat="1" applyFont="1"/>
    <xf numFmtId="169" fontId="34" fillId="11" borderId="0" xfId="0" applyNumberFormat="1" applyFont="1" applyFill="1"/>
    <xf numFmtId="168" fontId="34" fillId="11" borderId="0" xfId="0" applyNumberFormat="1" applyFont="1" applyFill="1"/>
    <xf numFmtId="0" fontId="37" fillId="11" borderId="0" xfId="0" applyFont="1" applyFill="1"/>
    <xf numFmtId="0" fontId="17" fillId="11" borderId="0" xfId="0" applyFont="1" applyFill="1"/>
    <xf numFmtId="0" fontId="10" fillId="11" borderId="0" xfId="0" applyFont="1" applyFill="1"/>
    <xf numFmtId="0" fontId="54" fillId="0" borderId="0" xfId="3" applyFont="1" applyFill="1" applyAlignment="1">
      <alignment horizontal="right"/>
    </xf>
    <xf numFmtId="165" fontId="8" fillId="0" borderId="0" xfId="0" applyNumberFormat="1" applyFont="1" applyAlignment="1">
      <alignment horizontal="right"/>
    </xf>
    <xf numFmtId="17" fontId="34" fillId="6" borderId="2" xfId="0" applyNumberFormat="1" applyFont="1" applyFill="1" applyBorder="1" applyAlignment="1">
      <alignment horizontal="center"/>
    </xf>
    <xf numFmtId="0" fontId="8" fillId="0" borderId="0" xfId="0" applyFont="1"/>
    <xf numFmtId="0" fontId="37" fillId="14" borderId="0" xfId="0" applyFont="1" applyFill="1" applyAlignment="1">
      <alignment horizontal="right"/>
    </xf>
    <xf numFmtId="0" fontId="45" fillId="14" borderId="0" xfId="0" applyFont="1" applyFill="1" applyAlignment="1">
      <alignment horizontal="right"/>
    </xf>
    <xf numFmtId="165" fontId="37" fillId="14" borderId="0" xfId="0" applyNumberFormat="1" applyFont="1" applyFill="1" applyAlignment="1">
      <alignment horizontal="right"/>
    </xf>
    <xf numFmtId="165" fontId="34" fillId="14" borderId="0" xfId="0" applyNumberFormat="1" applyFont="1" applyFill="1" applyAlignment="1">
      <alignment horizontal="right"/>
    </xf>
    <xf numFmtId="169" fontId="37" fillId="14" borderId="0" xfId="0" applyNumberFormat="1" applyFont="1" applyFill="1" applyAlignment="1">
      <alignment horizontal="right"/>
    </xf>
    <xf numFmtId="169" fontId="34" fillId="14" borderId="0" xfId="1" applyNumberFormat="1" applyFont="1" applyFill="1" applyAlignment="1">
      <alignment horizontal="right"/>
    </xf>
    <xf numFmtId="169" fontId="34" fillId="14" borderId="0" xfId="0" applyNumberFormat="1" applyFont="1" applyFill="1" applyAlignment="1">
      <alignment horizontal="right"/>
    </xf>
    <xf numFmtId="168" fontId="34" fillId="14" borderId="0" xfId="0" applyNumberFormat="1" applyFont="1" applyFill="1" applyAlignment="1">
      <alignment horizontal="right"/>
    </xf>
    <xf numFmtId="4" fontId="34" fillId="14" borderId="0" xfId="0" applyNumberFormat="1" applyFont="1" applyFill="1" applyAlignment="1">
      <alignment horizontal="right"/>
    </xf>
    <xf numFmtId="0" fontId="34" fillId="14" borderId="0" xfId="0" applyFont="1" applyFill="1" applyAlignment="1">
      <alignment horizontal="right"/>
    </xf>
    <xf numFmtId="9" fontId="34" fillId="14" borderId="0" xfId="1" applyFont="1" applyFill="1" applyAlignment="1">
      <alignment horizontal="right"/>
    </xf>
    <xf numFmtId="9" fontId="37" fillId="14" borderId="0" xfId="1" applyFont="1" applyFill="1" applyAlignment="1">
      <alignment horizontal="right"/>
    </xf>
    <xf numFmtId="9" fontId="47" fillId="14" borderId="0" xfId="1" applyFont="1" applyFill="1" applyAlignment="1">
      <alignment horizontal="right"/>
    </xf>
    <xf numFmtId="9" fontId="46" fillId="14" borderId="0" xfId="1" applyFont="1" applyFill="1" applyAlignment="1">
      <alignment horizontal="right"/>
    </xf>
    <xf numFmtId="171" fontId="37" fillId="14" borderId="0" xfId="4" applyNumberFormat="1" applyFont="1" applyFill="1" applyAlignment="1">
      <alignment horizontal="right"/>
    </xf>
    <xf numFmtId="9" fontId="34" fillId="14" borderId="0" xfId="0" applyNumberFormat="1" applyFont="1" applyFill="1" applyAlignment="1">
      <alignment horizontal="right"/>
    </xf>
    <xf numFmtId="9" fontId="8" fillId="0" borderId="0" xfId="1" applyFont="1" applyFill="1"/>
    <xf numFmtId="165" fontId="8" fillId="0" borderId="0" xfId="0" applyNumberFormat="1" applyFont="1"/>
    <xf numFmtId="165" fontId="37" fillId="0" borderId="0" xfId="4" applyNumberFormat="1" applyFont="1" applyFill="1"/>
    <xf numFmtId="14" fontId="57" fillId="0" borderId="0" xfId="0" applyNumberFormat="1" applyFont="1" applyAlignment="1">
      <alignment horizontal="right"/>
    </xf>
    <xf numFmtId="0" fontId="8" fillId="6" borderId="8" xfId="0" applyFont="1" applyFill="1" applyBorder="1" applyAlignment="1">
      <alignment horizontal="center"/>
    </xf>
    <xf numFmtId="0" fontId="8" fillId="0" borderId="0" xfId="0" applyFont="1" applyAlignment="1">
      <alignment horizontal="left" indent="1"/>
    </xf>
    <xf numFmtId="3" fontId="7" fillId="0" borderId="0" xfId="0" applyNumberFormat="1" applyFont="1"/>
    <xf numFmtId="3" fontId="37" fillId="0" borderId="0" xfId="0" applyNumberFormat="1" applyFont="1" applyAlignment="1">
      <alignment horizontal="right"/>
    </xf>
    <xf numFmtId="3" fontId="34" fillId="0" borderId="0" xfId="0" applyNumberFormat="1" applyFont="1" applyAlignment="1">
      <alignment horizontal="right"/>
    </xf>
    <xf numFmtId="3" fontId="34" fillId="0" borderId="0" xfId="0" applyNumberFormat="1" applyFont="1"/>
    <xf numFmtId="3" fontId="34" fillId="12" borderId="0" xfId="0" applyNumberFormat="1" applyFont="1" applyFill="1" applyAlignment="1">
      <alignment horizontal="right"/>
    </xf>
    <xf numFmtId="3" fontId="34" fillId="8" borderId="0" xfId="0" applyNumberFormat="1" applyFont="1" applyFill="1" applyAlignment="1">
      <alignment horizontal="right"/>
    </xf>
    <xf numFmtId="3" fontId="34" fillId="14" borderId="0" xfId="0" applyNumberFormat="1" applyFont="1" applyFill="1" applyAlignment="1">
      <alignment horizontal="right"/>
    </xf>
    <xf numFmtId="3" fontId="34" fillId="11" borderId="0" xfId="0" applyNumberFormat="1" applyFont="1" applyFill="1"/>
    <xf numFmtId="0" fontId="6" fillId="0" borderId="0" xfId="0" applyFont="1"/>
    <xf numFmtId="9" fontId="6" fillId="0" borderId="0" xfId="1" applyFont="1" applyFill="1" applyAlignment="1">
      <alignment horizontal="right"/>
    </xf>
    <xf numFmtId="0" fontId="5" fillId="6" borderId="0" xfId="0" applyFont="1" applyFill="1"/>
    <xf numFmtId="0" fontId="5" fillId="6" borderId="0" xfId="0" applyFont="1" applyFill="1" applyAlignment="1">
      <alignment horizontal="left" indent="1"/>
    </xf>
    <xf numFmtId="165" fontId="46" fillId="0" borderId="0" xfId="1" applyNumberFormat="1" applyFont="1" applyFill="1" applyAlignment="1">
      <alignment horizontal="right"/>
    </xf>
    <xf numFmtId="168" fontId="47" fillId="0" borderId="0" xfId="0" applyNumberFormat="1" applyFont="1" applyAlignment="1">
      <alignment horizontal="right"/>
    </xf>
    <xf numFmtId="9" fontId="47" fillId="0" borderId="0" xfId="1" applyFont="1" applyFill="1" applyAlignment="1">
      <alignment horizontal="right"/>
    </xf>
    <xf numFmtId="9" fontId="46" fillId="0" borderId="0" xfId="1" applyFont="1" applyFill="1" applyAlignment="1">
      <alignment horizontal="right"/>
    </xf>
    <xf numFmtId="3" fontId="47" fillId="0" borderId="0" xfId="0" applyNumberFormat="1" applyFont="1"/>
    <xf numFmtId="165" fontId="47" fillId="0" borderId="0" xfId="1" applyNumberFormat="1" applyFont="1" applyFill="1" applyAlignment="1">
      <alignment horizontal="right"/>
    </xf>
    <xf numFmtId="9" fontId="4" fillId="0" borderId="0" xfId="0" applyNumberFormat="1" applyFont="1"/>
    <xf numFmtId="0" fontId="4" fillId="0" borderId="0" xfId="0" applyFont="1"/>
    <xf numFmtId="165" fontId="4" fillId="0" borderId="0" xfId="0" applyNumberFormat="1" applyFont="1"/>
    <xf numFmtId="0" fontId="46" fillId="14" borderId="0" xfId="0" applyFont="1" applyFill="1" applyAlignment="1">
      <alignment horizontal="right"/>
    </xf>
    <xf numFmtId="165" fontId="46" fillId="14" borderId="0" xfId="1" applyNumberFormat="1" applyFont="1" applyFill="1" applyAlignment="1">
      <alignment horizontal="right"/>
    </xf>
    <xf numFmtId="165" fontId="47" fillId="14" borderId="0" xfId="0" applyNumberFormat="1" applyFont="1" applyFill="1" applyAlignment="1">
      <alignment horizontal="right"/>
    </xf>
    <xf numFmtId="169" fontId="46" fillId="14" borderId="0" xfId="0" applyNumberFormat="1" applyFont="1" applyFill="1" applyAlignment="1">
      <alignment horizontal="right"/>
    </xf>
    <xf numFmtId="169" fontId="47" fillId="14" borderId="0" xfId="1" applyNumberFormat="1" applyFont="1" applyFill="1" applyAlignment="1">
      <alignment horizontal="right"/>
    </xf>
    <xf numFmtId="169" fontId="47" fillId="14" borderId="0" xfId="0" applyNumberFormat="1" applyFont="1" applyFill="1" applyAlignment="1">
      <alignment horizontal="right"/>
    </xf>
    <xf numFmtId="0" fontId="47" fillId="14" borderId="0" xfId="0" applyFont="1" applyFill="1" applyAlignment="1">
      <alignment horizontal="right"/>
    </xf>
    <xf numFmtId="165" fontId="46" fillId="14" borderId="0" xfId="0" applyNumberFormat="1" applyFont="1" applyFill="1" applyAlignment="1">
      <alignment horizontal="right"/>
    </xf>
    <xf numFmtId="168" fontId="47" fillId="14" borderId="0" xfId="0" applyNumberFormat="1" applyFont="1" applyFill="1" applyAlignment="1">
      <alignment horizontal="right"/>
    </xf>
    <xf numFmtId="4" fontId="47" fillId="14" borderId="0" xfId="0" applyNumberFormat="1" applyFont="1" applyFill="1" applyAlignment="1">
      <alignment horizontal="right"/>
    </xf>
    <xf numFmtId="0" fontId="58" fillId="0" borderId="0" xfId="0" applyFont="1"/>
    <xf numFmtId="0" fontId="59" fillId="0" borderId="0" xfId="0" applyFont="1"/>
    <xf numFmtId="0" fontId="58" fillId="0" borderId="0" xfId="0" applyFont="1" applyAlignment="1">
      <alignment horizontal="right"/>
    </xf>
    <xf numFmtId="165" fontId="58" fillId="0" borderId="0" xfId="0" applyNumberFormat="1" applyFont="1" applyAlignment="1">
      <alignment horizontal="right"/>
    </xf>
    <xf numFmtId="0" fontId="58" fillId="11" borderId="0" xfId="0" applyFont="1" applyFill="1"/>
    <xf numFmtId="0" fontId="3" fillId="0" borderId="0" xfId="0" applyFont="1"/>
    <xf numFmtId="0" fontId="47" fillId="0" borderId="0" xfId="0" applyFont="1" applyAlignment="1">
      <alignment horizontal="left" indent="1"/>
    </xf>
    <xf numFmtId="0" fontId="2" fillId="6" borderId="0" xfId="0" applyFont="1" applyFill="1"/>
    <xf numFmtId="0" fontId="49" fillId="6" borderId="9" xfId="0" applyFont="1" applyFill="1" applyBorder="1" applyAlignment="1">
      <alignment horizontal="center"/>
    </xf>
    <xf numFmtId="0" fontId="49" fillId="6" borderId="11" xfId="0" applyFont="1" applyFill="1" applyBorder="1" applyAlignment="1">
      <alignment horizontal="center"/>
    </xf>
    <xf numFmtId="0" fontId="49" fillId="6" borderId="10" xfId="0" applyFont="1" applyFill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1" xfId="0" applyFont="1" applyBorder="1" applyAlignment="1">
      <alignment horizontal="center"/>
    </xf>
    <xf numFmtId="0" fontId="49" fillId="0" borderId="10" xfId="0" applyFont="1" applyBorder="1" applyAlignment="1">
      <alignment horizontal="center"/>
    </xf>
    <xf numFmtId="0" fontId="37" fillId="4" borderId="4" xfId="0" applyFont="1" applyFill="1" applyBorder="1" applyAlignment="1">
      <alignment horizontal="center"/>
    </xf>
    <xf numFmtId="0" fontId="37" fillId="4" borderId="5" xfId="0" applyFont="1" applyFill="1" applyBorder="1" applyAlignment="1">
      <alignment horizontal="center"/>
    </xf>
    <xf numFmtId="0" fontId="37" fillId="4" borderId="6" xfId="0" applyFont="1" applyFill="1" applyBorder="1" applyAlignment="1">
      <alignment horizontal="center"/>
    </xf>
    <xf numFmtId="0" fontId="26" fillId="6" borderId="0" xfId="0" applyFont="1" applyFill="1" applyAlignment="1">
      <alignment horizontal="center"/>
    </xf>
    <xf numFmtId="0" fontId="26" fillId="6" borderId="2" xfId="0" applyFont="1" applyFill="1" applyBorder="1" applyAlignment="1">
      <alignment horizontal="center"/>
    </xf>
    <xf numFmtId="0" fontId="34" fillId="6" borderId="0" xfId="0" applyFont="1" applyFill="1" applyAlignment="1">
      <alignment horizontal="center"/>
    </xf>
    <xf numFmtId="0" fontId="34" fillId="6" borderId="2" xfId="0" applyFont="1" applyFill="1" applyBorder="1" applyAlignment="1">
      <alignment horizontal="center"/>
    </xf>
    <xf numFmtId="172" fontId="34" fillId="6" borderId="0" xfId="0" applyNumberFormat="1" applyFont="1" applyFill="1" applyAlignment="1">
      <alignment horizontal="center"/>
    </xf>
    <xf numFmtId="172" fontId="34" fillId="6" borderId="2" xfId="0" applyNumberFormat="1" applyFont="1" applyFill="1" applyBorder="1" applyAlignment="1">
      <alignment horizontal="center"/>
    </xf>
    <xf numFmtId="172" fontId="34" fillId="6" borderId="1" xfId="0" applyNumberFormat="1" applyFont="1" applyFill="1" applyBorder="1" applyAlignment="1">
      <alignment horizontal="center"/>
    </xf>
    <xf numFmtId="172" fontId="34" fillId="6" borderId="3" xfId="0" applyNumberFormat="1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2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3" fontId="34" fillId="6" borderId="0" xfId="0" applyNumberFormat="1" applyFont="1" applyFill="1" applyAlignment="1">
      <alignment horizontal="center"/>
    </xf>
    <xf numFmtId="3" fontId="34" fillId="6" borderId="2" xfId="0" applyNumberFormat="1" applyFont="1" applyFill="1" applyBorder="1" applyAlignment="1">
      <alignment horizontal="center"/>
    </xf>
    <xf numFmtId="0" fontId="41" fillId="6" borderId="1" xfId="3" applyFill="1" applyBorder="1" applyAlignment="1">
      <alignment horizontal="center"/>
    </xf>
    <xf numFmtId="0" fontId="41" fillId="6" borderId="3" xfId="3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2" xfId="5" applyFont="1" applyFill="1" applyBorder="1" applyAlignment="1">
      <alignment horizontal="right"/>
    </xf>
    <xf numFmtId="0" fontId="54" fillId="0" borderId="2" xfId="3" applyFont="1" applyBorder="1"/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Metrics!$D$1:$U$1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Metrics!$D$2:$U$2</c:f>
              <c:numCache>
                <c:formatCode>General</c:formatCode>
                <c:ptCount val="18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Metrics!$D$1:$U$1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Metrics!$D$6:$T$6</c:f>
              <c:numCache>
                <c:formatCode>General</c:formatCode>
                <c:ptCount val="17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Metrics!$D$1:$U$1</c:f>
              <c:strCache>
                <c:ptCount val="18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</c:strCache>
            </c:strRef>
          </c:cat>
          <c:val>
            <c:numRef>
              <c:f>Metrics!$D$10:$T$10</c:f>
              <c:numCache>
                <c:formatCode>General</c:formatCode>
                <c:ptCount val="17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0</xdr:rowOff>
    </xdr:from>
    <xdr:to>
      <xdr:col>16</xdr:col>
      <xdr:colOff>9525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2734925" y="0"/>
          <a:ext cx="0" cy="263175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0</xdr:row>
      <xdr:rowOff>0</xdr:rowOff>
    </xdr:from>
    <xdr:to>
      <xdr:col>28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676275</xdr:colOff>
      <xdr:row>0</xdr:row>
      <xdr:rowOff>0</xdr:rowOff>
    </xdr:from>
    <xdr:to>
      <xdr:col>25</xdr:col>
      <xdr:colOff>676275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6425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18rn0p25nwr6d.cloudfront.net/CIK-0001315098/20ba7901-06ee-4e96-a6ed-c50b06b3420e.pdf" TargetMode="External"/><Relationship Id="rId4" Type="http://schemas.openxmlformats.org/officeDocument/2006/relationships/hyperlink" Target="https://d18rn0p25nwr6d.cloudfront.net/CIK-0001315098/009355d7-bad2-4a2d-8632-20d5bd6f7d22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zoomScaleNormal="100" workbookViewId="0">
      <selection activeCell="E11" sqref="E11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96" t="s">
        <v>125</v>
      </c>
      <c r="M1" s="297"/>
      <c r="N1" s="297"/>
      <c r="O1" s="297"/>
      <c r="P1" s="297"/>
      <c r="Q1" s="297"/>
      <c r="R1" s="297"/>
      <c r="S1" s="297"/>
      <c r="T1" s="297"/>
      <c r="U1" s="298"/>
      <c r="W1" s="299" t="s">
        <v>127</v>
      </c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1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3"/>
      <c r="O2" s="59" t="s">
        <v>190</v>
      </c>
      <c r="P2" s="59" t="s">
        <v>186</v>
      </c>
      <c r="Q2" s="171"/>
      <c r="R2" s="170">
        <v>44757</v>
      </c>
      <c r="S2" s="170">
        <v>44788</v>
      </c>
      <c r="T2" s="170"/>
      <c r="U2" s="199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4">
        <v>44621</v>
      </c>
      <c r="O3" s="53">
        <v>44652</v>
      </c>
      <c r="P3" s="53">
        <v>44682</v>
      </c>
      <c r="Q3" s="104">
        <v>44713</v>
      </c>
      <c r="R3" s="53">
        <v>44743</v>
      </c>
      <c r="S3" s="53">
        <v>44774</v>
      </c>
      <c r="T3" s="53">
        <v>44805</v>
      </c>
      <c r="U3" s="104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5"/>
      <c r="O4" s="54">
        <v>53.1</v>
      </c>
      <c r="P4" s="54">
        <v>50.4</v>
      </c>
      <c r="Q4" s="172"/>
      <c r="R4" s="54">
        <v>58.5</v>
      </c>
      <c r="S4" s="54">
        <v>59.9</v>
      </c>
      <c r="T4" s="54">
        <v>57.8</v>
      </c>
      <c r="U4" s="172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02" t="s">
        <v>82</v>
      </c>
      <c r="C5" s="303"/>
      <c r="D5" s="304"/>
      <c r="F5" s="302" t="s">
        <v>193</v>
      </c>
      <c r="G5" s="303"/>
      <c r="H5" s="304"/>
      <c r="K5" s="27" t="s">
        <v>73</v>
      </c>
      <c r="L5" s="55" t="s">
        <v>33</v>
      </c>
      <c r="M5" s="55" t="s">
        <v>33</v>
      </c>
      <c r="N5" s="106"/>
      <c r="O5" s="55" t="s">
        <v>33</v>
      </c>
      <c r="P5" s="55" t="s">
        <v>33</v>
      </c>
      <c r="Q5" s="173" t="s">
        <v>33</v>
      </c>
      <c r="R5" s="55" t="s">
        <v>33</v>
      </c>
      <c r="S5" s="55" t="s">
        <v>33</v>
      </c>
      <c r="T5" s="55" t="s">
        <v>33</v>
      </c>
      <c r="U5" s="173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30.01</v>
      </c>
      <c r="D6" s="42"/>
      <c r="F6" s="151" t="s">
        <v>194</v>
      </c>
      <c r="G6" s="316" t="s">
        <v>283</v>
      </c>
      <c r="H6" s="308"/>
      <c r="K6" s="27" t="s">
        <v>74</v>
      </c>
      <c r="L6" s="56">
        <v>0.32</v>
      </c>
      <c r="M6" s="56">
        <v>0.28000000000000003</v>
      </c>
      <c r="N6" s="106"/>
      <c r="O6" s="56">
        <v>0.23</v>
      </c>
      <c r="P6" s="56">
        <v>0.17</v>
      </c>
      <c r="Q6" s="174"/>
      <c r="R6" s="56">
        <v>0.26</v>
      </c>
      <c r="S6" s="56">
        <v>0.24</v>
      </c>
      <c r="T6" s="56">
        <v>0.27</v>
      </c>
      <c r="U6" s="174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'Financial Model'!P20</f>
        <v>612.68899999999996</v>
      </c>
      <c r="D7" s="322" t="s">
        <v>365</v>
      </c>
      <c r="F7" s="151" t="s">
        <v>282</v>
      </c>
      <c r="G7" s="307">
        <v>2021</v>
      </c>
      <c r="H7" s="308"/>
      <c r="K7" s="27"/>
      <c r="L7" s="55"/>
      <c r="M7" s="55"/>
      <c r="N7" s="106"/>
      <c r="O7" s="55"/>
      <c r="P7" s="55"/>
      <c r="Q7" s="173"/>
      <c r="R7" s="55"/>
      <c r="S7" s="55"/>
      <c r="T7" s="55"/>
      <c r="U7" s="173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18386.796890000001</v>
      </c>
      <c r="D8" s="39"/>
      <c r="F8" s="151" t="s">
        <v>195</v>
      </c>
      <c r="G8" s="307">
        <v>2004</v>
      </c>
      <c r="H8" s="308"/>
      <c r="K8" s="27" t="s">
        <v>75</v>
      </c>
      <c r="L8" s="55" t="s">
        <v>33</v>
      </c>
      <c r="M8" s="55" t="s">
        <v>33</v>
      </c>
      <c r="N8" s="106"/>
      <c r="O8" s="55" t="s">
        <v>33</v>
      </c>
      <c r="P8" s="55" t="s">
        <v>33</v>
      </c>
      <c r="Q8" s="173" t="s">
        <v>33</v>
      </c>
      <c r="R8" s="55" t="s">
        <v>33</v>
      </c>
      <c r="S8" s="55" t="s">
        <v>33</v>
      </c>
      <c r="T8" s="55" t="s">
        <v>33</v>
      </c>
      <c r="U8" s="173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'Financial Model'!P69</f>
        <v>3024.7629999999999</v>
      </c>
      <c r="D9" s="322" t="s">
        <v>365</v>
      </c>
      <c r="F9" s="151" t="s">
        <v>62</v>
      </c>
      <c r="G9" s="307">
        <f>AL4</f>
        <v>58.8</v>
      </c>
      <c r="H9" s="308"/>
      <c r="K9" s="27" t="s">
        <v>77</v>
      </c>
      <c r="L9" s="55" t="s">
        <v>33</v>
      </c>
      <c r="M9" s="55" t="s">
        <v>33</v>
      </c>
      <c r="N9" s="106"/>
      <c r="O9" s="55" t="s">
        <v>33</v>
      </c>
      <c r="P9" s="55" t="s">
        <v>33</v>
      </c>
      <c r="Q9" s="173" t="s">
        <v>33</v>
      </c>
      <c r="R9" s="55" t="s">
        <v>33</v>
      </c>
      <c r="S9" s="55" t="s">
        <v>33</v>
      </c>
      <c r="T9" s="55" t="s">
        <v>33</v>
      </c>
      <c r="U9" s="173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'Financial Model'!P70</f>
        <v>1004.335</v>
      </c>
      <c r="D10" s="322" t="s">
        <v>365</v>
      </c>
      <c r="F10" s="151" t="s">
        <v>317</v>
      </c>
      <c r="G10" s="317">
        <v>2128</v>
      </c>
      <c r="H10" s="318"/>
      <c r="K10" s="27" t="s">
        <v>78</v>
      </c>
      <c r="L10" s="55" t="s">
        <v>33</v>
      </c>
      <c r="M10" s="55" t="s">
        <v>33</v>
      </c>
      <c r="N10" s="106"/>
      <c r="O10" s="55" t="s">
        <v>33</v>
      </c>
      <c r="P10" s="55" t="s">
        <v>33</v>
      </c>
      <c r="Q10" s="173" t="s">
        <v>33</v>
      </c>
      <c r="R10" s="55" t="s">
        <v>33</v>
      </c>
      <c r="S10" s="55" t="s">
        <v>33</v>
      </c>
      <c r="T10" s="55" t="s">
        <v>33</v>
      </c>
      <c r="U10" s="173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4">
        <f t="shared" si="8"/>
        <v>0.19718309859154926</v>
      </c>
      <c r="AK10" s="134">
        <f t="shared" ref="AK10:AL10" si="9">AK8/AG8-1</f>
        <v>0.12558139534883717</v>
      </c>
      <c r="AL10" s="134">
        <f t="shared" si="9"/>
        <v>0.14285714285714279</v>
      </c>
    </row>
    <row r="11" spans="2:38" x14ac:dyDescent="0.25">
      <c r="B11" s="38" t="s">
        <v>7</v>
      </c>
      <c r="C11" s="9">
        <f>C9-C10</f>
        <v>2020.4279999999999</v>
      </c>
      <c r="D11" s="322" t="s">
        <v>365</v>
      </c>
      <c r="F11" s="151" t="s">
        <v>198</v>
      </c>
      <c r="G11" s="321" t="s">
        <v>365</v>
      </c>
      <c r="H11" s="233">
        <v>40026</v>
      </c>
      <c r="K11" s="27"/>
      <c r="L11" s="55"/>
      <c r="M11" s="55"/>
      <c r="N11" s="106"/>
      <c r="O11" s="55"/>
      <c r="P11" s="55"/>
      <c r="Q11" s="173"/>
      <c r="R11" s="55"/>
      <c r="S11" s="55"/>
      <c r="T11" s="55"/>
      <c r="U11" s="173"/>
      <c r="V11" s="24"/>
      <c r="W11" s="24"/>
      <c r="AC11" s="22"/>
      <c r="AJ11" s="135"/>
      <c r="AK11" s="135"/>
    </row>
    <row r="12" spans="2:38" ht="15.75" x14ac:dyDescent="0.25">
      <c r="B12" s="40" t="s">
        <v>5</v>
      </c>
      <c r="C12" s="43">
        <f>C8-C9+C10</f>
        <v>16366.368890000002</v>
      </c>
      <c r="D12" s="41"/>
      <c r="F12" s="152" t="s">
        <v>196</v>
      </c>
      <c r="G12" s="319" t="s">
        <v>197</v>
      </c>
      <c r="H12" s="320"/>
      <c r="K12" s="27" t="s">
        <v>76</v>
      </c>
      <c r="L12" s="55" t="s">
        <v>33</v>
      </c>
      <c r="M12" s="55" t="s">
        <v>33</v>
      </c>
      <c r="N12" s="106"/>
      <c r="O12" s="55" t="s">
        <v>33</v>
      </c>
      <c r="P12" s="55" t="s">
        <v>33</v>
      </c>
      <c r="Q12" s="173" t="s">
        <v>33</v>
      </c>
      <c r="R12" s="55" t="s">
        <v>33</v>
      </c>
      <c r="S12" s="55" t="s">
        <v>33</v>
      </c>
      <c r="T12" s="55" t="s">
        <v>33</v>
      </c>
      <c r="U12" s="173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6"/>
      <c r="O13" s="55" t="s">
        <v>33</v>
      </c>
      <c r="P13" s="55" t="s">
        <v>33</v>
      </c>
      <c r="Q13" s="173" t="s">
        <v>33</v>
      </c>
      <c r="R13" s="55" t="s">
        <v>33</v>
      </c>
      <c r="S13" s="55" t="s">
        <v>33</v>
      </c>
      <c r="T13" s="55" t="s">
        <v>33</v>
      </c>
      <c r="U13" s="173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6"/>
      <c r="O14" s="55" t="s">
        <v>33</v>
      </c>
      <c r="P14" s="55" t="s">
        <v>33</v>
      </c>
      <c r="Q14" s="173" t="s">
        <v>33</v>
      </c>
      <c r="R14" s="55" t="s">
        <v>33</v>
      </c>
      <c r="S14" s="55" t="s">
        <v>33</v>
      </c>
      <c r="T14" s="55" t="s">
        <v>33</v>
      </c>
      <c r="U14" s="173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02" t="s">
        <v>130</v>
      </c>
      <c r="C15" s="303"/>
      <c r="D15" s="304"/>
      <c r="F15" s="302" t="s">
        <v>203</v>
      </c>
      <c r="G15" s="303"/>
      <c r="H15" s="304"/>
      <c r="K15" s="27"/>
      <c r="L15" s="57"/>
      <c r="M15" s="57"/>
      <c r="N15" s="103"/>
      <c r="O15" s="57"/>
      <c r="P15" s="57"/>
      <c r="Q15" s="175"/>
      <c r="R15" s="57"/>
      <c r="S15" s="57"/>
      <c r="T15" s="57"/>
      <c r="U15" s="175"/>
    </row>
    <row r="16" spans="2:38" ht="15" customHeight="1" x14ac:dyDescent="0.25">
      <c r="B16" s="85" t="s">
        <v>132</v>
      </c>
      <c r="C16" s="315" t="s">
        <v>131</v>
      </c>
      <c r="D16" s="308"/>
      <c r="F16" s="151" t="s">
        <v>204</v>
      </c>
      <c r="G16" s="309">
        <f>C6/'Financial Model'!P67</f>
        <v>111.9780565773442</v>
      </c>
      <c r="H16" s="310"/>
      <c r="J16" s="30" t="s">
        <v>86</v>
      </c>
      <c r="K16" s="26" t="s">
        <v>83</v>
      </c>
      <c r="L16" s="58">
        <v>4200</v>
      </c>
      <c r="M16" s="58">
        <v>3800</v>
      </c>
      <c r="N16" s="107"/>
      <c r="O16" s="58">
        <v>3800</v>
      </c>
      <c r="P16" s="58">
        <v>3600</v>
      </c>
      <c r="Q16" s="175"/>
      <c r="R16" s="58">
        <v>4700</v>
      </c>
      <c r="S16" s="58">
        <v>4700</v>
      </c>
      <c r="T16" s="58">
        <v>4000</v>
      </c>
      <c r="U16" s="200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6">
        <v>13400</v>
      </c>
    </row>
    <row r="17" spans="2:38" x14ac:dyDescent="0.25">
      <c r="B17" s="97" t="s">
        <v>164</v>
      </c>
      <c r="C17" s="305" t="s">
        <v>165</v>
      </c>
      <c r="D17" s="306"/>
      <c r="F17" s="151" t="s">
        <v>213</v>
      </c>
      <c r="G17" s="309">
        <f>C8/SUM('Financial Model'!M3:P3)</f>
        <v>7.5578091811933561</v>
      </c>
      <c r="H17" s="310"/>
      <c r="K17" s="27" t="s">
        <v>84</v>
      </c>
      <c r="L17" s="55" t="s">
        <v>33</v>
      </c>
      <c r="M17" s="55" t="s">
        <v>33</v>
      </c>
      <c r="N17" s="106"/>
      <c r="O17" s="55" t="s">
        <v>33</v>
      </c>
      <c r="P17" s="55" t="s">
        <v>33</v>
      </c>
      <c r="Q17" s="173"/>
      <c r="R17" s="55" t="s">
        <v>33</v>
      </c>
      <c r="S17" s="55" t="s">
        <v>33</v>
      </c>
      <c r="T17" s="55" t="s">
        <v>33</v>
      </c>
      <c r="U17" s="173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5" t="s">
        <v>133</v>
      </c>
      <c r="C18" s="315" t="s">
        <v>134</v>
      </c>
      <c r="D18" s="308"/>
      <c r="F18" s="151" t="s">
        <v>214</v>
      </c>
      <c r="G18" s="309">
        <f>C6/SUM('Financial Model'!M19:P19)</f>
        <v>-15.801046113854976</v>
      </c>
      <c r="H18" s="310"/>
      <c r="K18" s="27" t="s">
        <v>85</v>
      </c>
      <c r="L18" s="56">
        <v>0.26</v>
      </c>
      <c r="M18" s="56">
        <v>0.21</v>
      </c>
      <c r="N18" s="106"/>
      <c r="O18" s="56">
        <v>0.18</v>
      </c>
      <c r="P18" s="56">
        <v>0.1</v>
      </c>
      <c r="Q18" s="174"/>
      <c r="R18" s="56">
        <v>0.25</v>
      </c>
      <c r="S18" s="56">
        <v>0.18</v>
      </c>
      <c r="T18" s="56">
        <v>0.16</v>
      </c>
      <c r="U18" s="174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4">
        <f t="shared" si="16"/>
        <v>0.25244573082489175</v>
      </c>
      <c r="AK18" s="134">
        <f t="shared" ref="AK18:AL18" si="17">AK16/AG16-1</f>
        <v>0.16040254672417342</v>
      </c>
      <c r="AL18" s="134">
        <f t="shared" si="17"/>
        <v>0.198140200286123</v>
      </c>
    </row>
    <row r="19" spans="2:38" x14ac:dyDescent="0.25">
      <c r="B19" s="83"/>
      <c r="C19" s="307"/>
      <c r="D19" s="308"/>
      <c r="F19" s="151" t="s">
        <v>218</v>
      </c>
      <c r="G19" s="309">
        <f>C12/SUM('Financial Model'!M3:P3)</f>
        <v>6.7273214469950737</v>
      </c>
      <c r="H19" s="310"/>
      <c r="K19" s="27"/>
      <c r="L19" s="57"/>
      <c r="M19" s="57"/>
    </row>
    <row r="20" spans="2:38" x14ac:dyDescent="0.25">
      <c r="B20" s="84"/>
      <c r="C20" s="313"/>
      <c r="D20" s="314"/>
      <c r="F20" s="152" t="s">
        <v>319</v>
      </c>
      <c r="G20" s="311">
        <f>C12/SUM('Financial Model'!M34:P34)</f>
        <v>5.1864523038407926</v>
      </c>
      <c r="H20" s="312"/>
      <c r="J20" s="30"/>
      <c r="K20" s="168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8" t="s">
        <v>211</v>
      </c>
    </row>
    <row r="22" spans="2:38" x14ac:dyDescent="0.25">
      <c r="K22" s="168" t="s">
        <v>210</v>
      </c>
    </row>
    <row r="23" spans="2:38" x14ac:dyDescent="0.25">
      <c r="B23" s="302" t="s">
        <v>159</v>
      </c>
      <c r="C23" s="303"/>
      <c r="D23" s="303"/>
      <c r="E23" s="303"/>
      <c r="F23" s="303"/>
      <c r="G23" s="304"/>
      <c r="K23" s="168" t="s">
        <v>209</v>
      </c>
    </row>
    <row r="24" spans="2:38" x14ac:dyDescent="0.25">
      <c r="B24" s="100" t="s">
        <v>169</v>
      </c>
      <c r="C24" s="88"/>
      <c r="D24" s="88"/>
      <c r="E24" s="88"/>
      <c r="F24" s="88"/>
      <c r="G24" s="89"/>
      <c r="K24" s="57" t="s">
        <v>167</v>
      </c>
    </row>
    <row r="25" spans="2:38" x14ac:dyDescent="0.25">
      <c r="B25" s="100" t="s">
        <v>170</v>
      </c>
      <c r="C25" s="88"/>
      <c r="D25" s="88"/>
      <c r="E25" s="88"/>
      <c r="F25" s="88"/>
      <c r="G25" s="89"/>
      <c r="K25" s="86" t="s">
        <v>139</v>
      </c>
      <c r="L25" s="86" t="s">
        <v>148</v>
      </c>
    </row>
    <row r="26" spans="2:38" x14ac:dyDescent="0.25">
      <c r="B26" s="90"/>
      <c r="C26" s="88"/>
      <c r="D26" s="88"/>
      <c r="E26" s="88"/>
      <c r="F26" s="88"/>
      <c r="G26" s="89"/>
      <c r="K26" s="86" t="s">
        <v>140</v>
      </c>
      <c r="L26" s="86" t="s">
        <v>137</v>
      </c>
    </row>
    <row r="27" spans="2:38" x14ac:dyDescent="0.25">
      <c r="B27" s="90" t="s">
        <v>149</v>
      </c>
      <c r="C27" s="88"/>
      <c r="D27" s="88"/>
      <c r="E27" s="88"/>
      <c r="F27" s="91"/>
      <c r="G27" s="89"/>
      <c r="K27" s="86" t="s">
        <v>141</v>
      </c>
      <c r="L27" s="86" t="s">
        <v>138</v>
      </c>
    </row>
    <row r="28" spans="2:38" x14ac:dyDescent="0.25">
      <c r="B28" s="87" t="s">
        <v>162</v>
      </c>
      <c r="C28" s="88"/>
      <c r="D28" s="88"/>
      <c r="E28" s="88"/>
      <c r="F28" s="91"/>
      <c r="G28" s="89"/>
      <c r="P28" s="1" t="s">
        <v>284</v>
      </c>
    </row>
    <row r="29" spans="2:38" x14ac:dyDescent="0.25">
      <c r="B29" s="96" t="s">
        <v>163</v>
      </c>
      <c r="C29" s="88"/>
      <c r="D29" s="88"/>
      <c r="E29" s="88"/>
      <c r="F29" s="91"/>
      <c r="G29" s="89"/>
      <c r="K29" s="86" t="s">
        <v>143</v>
      </c>
      <c r="L29" s="86" t="s">
        <v>142</v>
      </c>
      <c r="P29" s="234" t="s">
        <v>302</v>
      </c>
    </row>
    <row r="30" spans="2:38" x14ac:dyDescent="0.25">
      <c r="B30" s="87" t="s">
        <v>161</v>
      </c>
      <c r="C30" s="88"/>
      <c r="D30" s="88"/>
      <c r="E30" s="88"/>
      <c r="F30" s="91"/>
      <c r="G30" s="89"/>
      <c r="J30" s="86"/>
      <c r="K30" s="86"/>
      <c r="P30" s="234" t="s">
        <v>288</v>
      </c>
    </row>
    <row r="31" spans="2:38" x14ac:dyDescent="0.25">
      <c r="B31" s="92" t="s">
        <v>150</v>
      </c>
      <c r="C31" s="93"/>
      <c r="D31" s="93"/>
      <c r="E31" s="93"/>
      <c r="F31" s="94"/>
      <c r="G31" s="95"/>
      <c r="J31" s="7"/>
      <c r="K31" s="302" t="s">
        <v>181</v>
      </c>
      <c r="L31" s="303"/>
      <c r="M31" s="303"/>
      <c r="N31" s="304"/>
      <c r="P31" s="234" t="s">
        <v>289</v>
      </c>
    </row>
    <row r="32" spans="2:38" x14ac:dyDescent="0.25">
      <c r="J32" s="7"/>
      <c r="K32" s="144" t="s">
        <v>176</v>
      </c>
      <c r="L32" s="88"/>
      <c r="M32" s="88"/>
      <c r="N32" s="89"/>
    </row>
    <row r="33" spans="2:16" x14ac:dyDescent="0.25">
      <c r="B33" s="302" t="s">
        <v>187</v>
      </c>
      <c r="C33" s="303"/>
      <c r="D33" s="303"/>
      <c r="E33" s="303"/>
      <c r="F33" s="303"/>
      <c r="G33" s="304"/>
      <c r="J33" s="7"/>
      <c r="K33" s="144" t="s">
        <v>177</v>
      </c>
      <c r="L33" s="141" t="s">
        <v>178</v>
      </c>
      <c r="M33" s="141"/>
      <c r="N33" s="89"/>
      <c r="P33" s="234" t="s">
        <v>290</v>
      </c>
    </row>
    <row r="34" spans="2:16" x14ac:dyDescent="0.25">
      <c r="B34" s="176">
        <v>45078</v>
      </c>
      <c r="C34" s="295" t="s">
        <v>364</v>
      </c>
      <c r="D34" s="88"/>
      <c r="E34" s="88"/>
      <c r="F34" s="88"/>
      <c r="G34" s="89"/>
      <c r="J34" s="7"/>
      <c r="K34" s="144" t="s">
        <v>179</v>
      </c>
      <c r="L34" s="142" t="s">
        <v>180</v>
      </c>
      <c r="M34" s="142"/>
      <c r="N34" s="89"/>
      <c r="P34" s="234" t="s">
        <v>291</v>
      </c>
    </row>
    <row r="35" spans="2:16" x14ac:dyDescent="0.25">
      <c r="B35" s="138"/>
      <c r="C35" s="88"/>
      <c r="D35" s="88"/>
      <c r="E35" s="88"/>
      <c r="F35" s="88"/>
      <c r="G35" s="89"/>
      <c r="J35" s="179" t="s">
        <v>207</v>
      </c>
      <c r="K35" s="144" t="s">
        <v>184</v>
      </c>
      <c r="L35" s="143" t="s">
        <v>185</v>
      </c>
      <c r="M35" s="143"/>
      <c r="N35" s="89"/>
      <c r="P35" s="234" t="s">
        <v>292</v>
      </c>
    </row>
    <row r="36" spans="2:16" x14ac:dyDescent="0.25">
      <c r="B36" s="176">
        <v>44986</v>
      </c>
      <c r="C36" s="267" t="s">
        <v>320</v>
      </c>
      <c r="D36" s="88"/>
      <c r="E36" s="88"/>
      <c r="F36" s="88"/>
      <c r="G36" s="89"/>
      <c r="J36" s="7"/>
      <c r="K36" s="145" t="s">
        <v>151</v>
      </c>
      <c r="L36" s="88"/>
      <c r="M36" s="88"/>
      <c r="N36" s="89"/>
      <c r="P36" s="234" t="s">
        <v>293</v>
      </c>
    </row>
    <row r="37" spans="2:16" x14ac:dyDescent="0.25">
      <c r="B37" s="138"/>
      <c r="C37" s="268" t="s">
        <v>321</v>
      </c>
      <c r="D37" s="88"/>
      <c r="E37" s="88"/>
      <c r="F37" s="88"/>
      <c r="G37" s="89"/>
      <c r="J37" s="7"/>
      <c r="K37" s="145" t="s">
        <v>152</v>
      </c>
      <c r="L37" s="88"/>
      <c r="M37" s="88"/>
      <c r="N37" s="89"/>
      <c r="P37" s="234" t="s">
        <v>294</v>
      </c>
    </row>
    <row r="38" spans="2:16" x14ac:dyDescent="0.25">
      <c r="B38" s="138"/>
      <c r="C38" s="88"/>
      <c r="D38" s="88"/>
      <c r="E38" s="88"/>
      <c r="F38" s="88"/>
      <c r="G38" s="89"/>
      <c r="J38" s="7"/>
      <c r="K38" s="145" t="s">
        <v>153</v>
      </c>
      <c r="L38" s="88"/>
      <c r="M38" s="88"/>
      <c r="N38" s="89"/>
    </row>
    <row r="39" spans="2:16" x14ac:dyDescent="0.25">
      <c r="B39" s="176">
        <v>44743</v>
      </c>
      <c r="C39" s="177" t="s">
        <v>205</v>
      </c>
      <c r="D39" s="88"/>
      <c r="E39" s="88"/>
      <c r="F39" s="88"/>
      <c r="G39" s="89"/>
      <c r="J39" s="7"/>
      <c r="K39" s="145" t="s">
        <v>166</v>
      </c>
      <c r="L39" s="88"/>
      <c r="M39" s="88"/>
      <c r="N39" s="89"/>
      <c r="P39" s="234" t="s">
        <v>296</v>
      </c>
    </row>
    <row r="40" spans="2:16" x14ac:dyDescent="0.25">
      <c r="B40" s="138"/>
      <c r="C40" s="178" t="s">
        <v>206</v>
      </c>
      <c r="D40" s="88"/>
      <c r="E40" s="88"/>
      <c r="F40" s="88"/>
      <c r="G40" s="89"/>
      <c r="J40" s="179" t="s">
        <v>208</v>
      </c>
      <c r="K40" s="144" t="s">
        <v>182</v>
      </c>
      <c r="L40" s="88"/>
      <c r="M40" s="88"/>
      <c r="N40" s="89"/>
      <c r="P40" s="234" t="s">
        <v>297</v>
      </c>
    </row>
    <row r="41" spans="2:16" x14ac:dyDescent="0.25">
      <c r="B41" s="138"/>
      <c r="C41" s="88"/>
      <c r="D41" s="88"/>
      <c r="E41" s="88"/>
      <c r="F41" s="88"/>
      <c r="G41" s="89"/>
      <c r="J41" s="7"/>
      <c r="K41" s="144" t="s">
        <v>183</v>
      </c>
      <c r="L41" s="88"/>
      <c r="M41" s="88"/>
      <c r="N41" s="89"/>
    </row>
    <row r="42" spans="2:16" x14ac:dyDescent="0.25">
      <c r="B42" s="148">
        <v>44682</v>
      </c>
      <c r="C42" s="140" t="s">
        <v>189</v>
      </c>
      <c r="D42" s="88"/>
      <c r="E42" s="88"/>
      <c r="F42" s="88"/>
      <c r="G42" s="89"/>
      <c r="J42" s="7"/>
      <c r="K42" s="146"/>
      <c r="L42" s="88"/>
      <c r="M42" s="88"/>
      <c r="N42" s="89"/>
      <c r="P42" s="234" t="s">
        <v>298</v>
      </c>
    </row>
    <row r="43" spans="2:16" x14ac:dyDescent="0.25">
      <c r="B43" s="138"/>
      <c r="C43" s="147" t="s">
        <v>188</v>
      </c>
      <c r="D43" s="88"/>
      <c r="E43" s="88"/>
      <c r="F43" s="88"/>
      <c r="G43" s="89"/>
      <c r="J43" s="7"/>
      <c r="K43" s="150" t="s">
        <v>191</v>
      </c>
      <c r="L43" s="142" t="s">
        <v>192</v>
      </c>
      <c r="M43" s="88"/>
      <c r="N43" s="89"/>
      <c r="P43" s="256" t="s">
        <v>299</v>
      </c>
    </row>
    <row r="44" spans="2:16" x14ac:dyDescent="0.25">
      <c r="B44" s="139"/>
      <c r="C44" s="93"/>
      <c r="D44" s="93"/>
      <c r="E44" s="93"/>
      <c r="F44" s="93"/>
      <c r="G44" s="95"/>
      <c r="J44" s="7"/>
      <c r="K44" s="145" t="s">
        <v>154</v>
      </c>
      <c r="L44" s="88"/>
      <c r="M44" s="88"/>
      <c r="N44" s="89"/>
      <c r="P44" s="256" t="s">
        <v>300</v>
      </c>
    </row>
    <row r="45" spans="2:16" x14ac:dyDescent="0.25">
      <c r="J45" s="7"/>
      <c r="K45" s="145" t="s">
        <v>155</v>
      </c>
      <c r="L45" s="88"/>
      <c r="M45" s="88"/>
      <c r="N45" s="89"/>
      <c r="P45" s="256" t="s">
        <v>309</v>
      </c>
    </row>
    <row r="46" spans="2:16" x14ac:dyDescent="0.25">
      <c r="B46" s="182" t="s">
        <v>215</v>
      </c>
      <c r="J46" s="7"/>
      <c r="K46" s="145" t="s">
        <v>156</v>
      </c>
      <c r="L46" s="88"/>
      <c r="M46" s="88"/>
      <c r="N46" s="89"/>
      <c r="P46" s="256" t="s">
        <v>310</v>
      </c>
    </row>
    <row r="47" spans="2:16" x14ac:dyDescent="0.25">
      <c r="B47" s="1" t="s">
        <v>220</v>
      </c>
      <c r="J47" s="7"/>
      <c r="K47" s="145" t="s">
        <v>157</v>
      </c>
      <c r="L47" s="88"/>
      <c r="M47" s="88"/>
      <c r="N47" s="89"/>
    </row>
    <row r="48" spans="2:16" x14ac:dyDescent="0.25">
      <c r="B48" s="201" t="s">
        <v>219</v>
      </c>
      <c r="J48" s="7"/>
      <c r="K48" s="203" t="s">
        <v>158</v>
      </c>
      <c r="L48" s="88"/>
      <c r="M48" s="88"/>
      <c r="N48" s="89"/>
      <c r="P48" s="234" t="s">
        <v>301</v>
      </c>
    </row>
    <row r="49" spans="2:25" x14ac:dyDescent="0.25">
      <c r="B49" s="201" t="s">
        <v>221</v>
      </c>
      <c r="K49" s="146"/>
      <c r="L49" s="88"/>
      <c r="M49" s="88"/>
      <c r="N49" s="89"/>
      <c r="P49" s="234" t="s">
        <v>306</v>
      </c>
    </row>
    <row r="50" spans="2:25" x14ac:dyDescent="0.25">
      <c r="B50" s="202" t="s">
        <v>222</v>
      </c>
      <c r="J50" s="204" t="s">
        <v>238</v>
      </c>
      <c r="K50" s="203" t="s">
        <v>236</v>
      </c>
      <c r="L50" s="142" t="s">
        <v>237</v>
      </c>
      <c r="M50" s="88"/>
      <c r="N50" s="89"/>
      <c r="P50" s="234" t="s">
        <v>303</v>
      </c>
    </row>
    <row r="51" spans="2:25" x14ac:dyDescent="0.25">
      <c r="B51" s="202" t="s">
        <v>223</v>
      </c>
      <c r="K51" s="255" t="s">
        <v>295</v>
      </c>
      <c r="L51" s="93"/>
      <c r="M51" s="93"/>
      <c r="N51" s="95"/>
      <c r="Y51" s="1" t="s">
        <v>329</v>
      </c>
    </row>
    <row r="52" spans="2:25" x14ac:dyDescent="0.25">
      <c r="B52" s="202" t="s">
        <v>224</v>
      </c>
      <c r="P52" s="234" t="s">
        <v>304</v>
      </c>
      <c r="Y52" s="293" t="s">
        <v>348</v>
      </c>
    </row>
    <row r="53" spans="2:25" x14ac:dyDescent="0.25">
      <c r="B53" s="202" t="s">
        <v>225</v>
      </c>
      <c r="P53" s="256" t="s">
        <v>307</v>
      </c>
      <c r="Y53" s="293" t="s">
        <v>349</v>
      </c>
    </row>
    <row r="54" spans="2:25" x14ac:dyDescent="0.25">
      <c r="P54" s="234" t="s">
        <v>305</v>
      </c>
      <c r="Y54" s="293" t="s">
        <v>350</v>
      </c>
    </row>
    <row r="55" spans="2:25" x14ac:dyDescent="0.25">
      <c r="B55" s="201" t="s">
        <v>226</v>
      </c>
      <c r="P55" s="234" t="s">
        <v>308</v>
      </c>
      <c r="Y55" s="293" t="s">
        <v>351</v>
      </c>
    </row>
    <row r="56" spans="2:25" x14ac:dyDescent="0.25">
      <c r="Y56" s="293" t="s">
        <v>352</v>
      </c>
    </row>
    <row r="57" spans="2:25" x14ac:dyDescent="0.25">
      <c r="B57" s="201" t="s">
        <v>227</v>
      </c>
      <c r="P57" s="234" t="s">
        <v>311</v>
      </c>
    </row>
    <row r="58" spans="2:25" x14ac:dyDescent="0.25">
      <c r="B58" s="201" t="s">
        <v>228</v>
      </c>
      <c r="Y58" s="293" t="s">
        <v>353</v>
      </c>
    </row>
    <row r="59" spans="2:25" x14ac:dyDescent="0.25">
      <c r="B59" s="202" t="s">
        <v>229</v>
      </c>
      <c r="P59" s="234" t="s">
        <v>312</v>
      </c>
      <c r="Y59" s="293" t="s">
        <v>354</v>
      </c>
    </row>
    <row r="60" spans="2:25" x14ac:dyDescent="0.25">
      <c r="B60" s="202" t="s">
        <v>230</v>
      </c>
      <c r="P60" s="256" t="s">
        <v>313</v>
      </c>
    </row>
    <row r="61" spans="2:25" x14ac:dyDescent="0.25">
      <c r="B61" s="202" t="s">
        <v>231</v>
      </c>
      <c r="P61" s="256" t="s">
        <v>314</v>
      </c>
      <c r="Y61" s="293" t="s">
        <v>355</v>
      </c>
    </row>
    <row r="62" spans="2:25" x14ac:dyDescent="0.25">
      <c r="B62" s="202" t="s">
        <v>232</v>
      </c>
      <c r="P62" s="256" t="s">
        <v>315</v>
      </c>
      <c r="Y62" s="293" t="s">
        <v>356</v>
      </c>
    </row>
    <row r="63" spans="2:25" x14ac:dyDescent="0.25">
      <c r="I63" s="19" t="s">
        <v>58</v>
      </c>
      <c r="P63" s="256" t="s">
        <v>316</v>
      </c>
      <c r="Y63" s="293" t="s">
        <v>357</v>
      </c>
    </row>
    <row r="64" spans="2:25" x14ac:dyDescent="0.25">
      <c r="B64" s="201" t="s">
        <v>233</v>
      </c>
      <c r="I64" s="20" t="s">
        <v>59</v>
      </c>
    </row>
    <row r="65" spans="2:25" x14ac:dyDescent="0.25">
      <c r="B65" s="201" t="s">
        <v>234</v>
      </c>
      <c r="I65" s="20" t="s">
        <v>60</v>
      </c>
      <c r="Y65" s="293" t="s">
        <v>358</v>
      </c>
    </row>
    <row r="66" spans="2:25" x14ac:dyDescent="0.25">
      <c r="I66" s="20" t="s">
        <v>61</v>
      </c>
      <c r="Y66" s="293" t="s">
        <v>359</v>
      </c>
    </row>
    <row r="67" spans="2:25" ht="15.75" x14ac:dyDescent="0.25">
      <c r="B67" s="201" t="s">
        <v>235</v>
      </c>
      <c r="I67" s="21" t="s">
        <v>63</v>
      </c>
      <c r="Y67" s="293" t="s">
        <v>360</v>
      </c>
    </row>
    <row r="68" spans="2:25" ht="15.75" x14ac:dyDescent="0.25">
      <c r="I68" s="21" t="s">
        <v>88</v>
      </c>
    </row>
    <row r="69" spans="2:25" ht="15.75" x14ac:dyDescent="0.25">
      <c r="B69" s="201" t="s">
        <v>239</v>
      </c>
      <c r="I69" s="21" t="s">
        <v>64</v>
      </c>
      <c r="Y69" s="1"/>
    </row>
    <row r="70" spans="2:25" x14ac:dyDescent="0.25">
      <c r="I70" s="82" t="s">
        <v>126</v>
      </c>
      <c r="Y70" s="293" t="s">
        <v>361</v>
      </c>
    </row>
    <row r="71" spans="2:25" x14ac:dyDescent="0.25">
      <c r="B71" s="201" t="s">
        <v>240</v>
      </c>
      <c r="Y71" s="293" t="s">
        <v>362</v>
      </c>
    </row>
    <row r="72" spans="2:25" x14ac:dyDescent="0.25">
      <c r="B72" s="202" t="s">
        <v>241</v>
      </c>
    </row>
    <row r="73" spans="2:25" x14ac:dyDescent="0.25">
      <c r="I73" s="98" t="s">
        <v>168</v>
      </c>
      <c r="Y73" s="293" t="s">
        <v>363</v>
      </c>
    </row>
    <row r="74" spans="2:25" x14ac:dyDescent="0.25">
      <c r="B74" s="201" t="s">
        <v>242</v>
      </c>
      <c r="I74" s="1" t="s">
        <v>135</v>
      </c>
    </row>
    <row r="75" spans="2:25" x14ac:dyDescent="0.25">
      <c r="I75" s="79" t="s">
        <v>136</v>
      </c>
      <c r="Y75" s="293" t="s">
        <v>330</v>
      </c>
    </row>
    <row r="76" spans="2:25" x14ac:dyDescent="0.25">
      <c r="B76" s="201" t="s">
        <v>244</v>
      </c>
      <c r="I76" s="86" t="s">
        <v>144</v>
      </c>
      <c r="Y76" s="293" t="s">
        <v>332</v>
      </c>
    </row>
    <row r="77" spans="2:25" x14ac:dyDescent="0.25">
      <c r="B77" s="202" t="s">
        <v>243</v>
      </c>
      <c r="I77" s="86" t="s">
        <v>145</v>
      </c>
      <c r="Y77" s="294" t="s">
        <v>334</v>
      </c>
    </row>
    <row r="78" spans="2:25" x14ac:dyDescent="0.25">
      <c r="I78" s="86" t="s">
        <v>146</v>
      </c>
      <c r="Y78" s="294" t="s">
        <v>335</v>
      </c>
    </row>
    <row r="79" spans="2:25" x14ac:dyDescent="0.25">
      <c r="B79" s="201" t="s">
        <v>245</v>
      </c>
      <c r="I79" s="86" t="s">
        <v>160</v>
      </c>
      <c r="Y79" s="294" t="s">
        <v>336</v>
      </c>
    </row>
    <row r="80" spans="2:25" x14ac:dyDescent="0.25">
      <c r="B80" s="202" t="s">
        <v>246</v>
      </c>
      <c r="I80" s="86" t="s">
        <v>147</v>
      </c>
    </row>
    <row r="81" spans="2:25" x14ac:dyDescent="0.25">
      <c r="Y81" s="293" t="s">
        <v>331</v>
      </c>
    </row>
    <row r="82" spans="2:25" x14ac:dyDescent="0.25">
      <c r="B82" s="201" t="s">
        <v>247</v>
      </c>
      <c r="Y82" s="293" t="s">
        <v>333</v>
      </c>
    </row>
    <row r="83" spans="2:25" x14ac:dyDescent="0.25">
      <c r="B83" s="202" t="s">
        <v>248</v>
      </c>
    </row>
    <row r="84" spans="2:25" x14ac:dyDescent="0.25">
      <c r="B84" s="202" t="s">
        <v>249</v>
      </c>
    </row>
    <row r="85" spans="2:25" x14ac:dyDescent="0.25">
      <c r="B85" s="202" t="s">
        <v>250</v>
      </c>
      <c r="Y85" s="293" t="s">
        <v>337</v>
      </c>
    </row>
    <row r="86" spans="2:25" x14ac:dyDescent="0.25">
      <c r="B86" s="205" t="s">
        <v>251</v>
      </c>
      <c r="Y86" s="293" t="s">
        <v>338</v>
      </c>
    </row>
    <row r="87" spans="2:25" x14ac:dyDescent="0.25">
      <c r="Y87" s="294" t="s">
        <v>339</v>
      </c>
    </row>
    <row r="89" spans="2:25" x14ac:dyDescent="0.25">
      <c r="Y89" s="293" t="s">
        <v>340</v>
      </c>
    </row>
    <row r="90" spans="2:25" x14ac:dyDescent="0.25">
      <c r="Y90" s="294" t="s">
        <v>341</v>
      </c>
    </row>
    <row r="91" spans="2:25" x14ac:dyDescent="0.25">
      <c r="Y91" s="294" t="s">
        <v>342</v>
      </c>
    </row>
    <row r="92" spans="2:25" x14ac:dyDescent="0.25">
      <c r="Y92" s="294" t="s">
        <v>343</v>
      </c>
    </row>
    <row r="93" spans="2:25" x14ac:dyDescent="0.25">
      <c r="Y93" s="294" t="s">
        <v>344</v>
      </c>
    </row>
    <row r="94" spans="2:25" x14ac:dyDescent="0.25">
      <c r="Y94" s="294"/>
    </row>
    <row r="95" spans="2:25" x14ac:dyDescent="0.25">
      <c r="Y95" s="293" t="s">
        <v>346</v>
      </c>
    </row>
    <row r="96" spans="2:25" x14ac:dyDescent="0.25">
      <c r="Y96" s="294" t="s">
        <v>345</v>
      </c>
    </row>
    <row r="97" spans="25:25" x14ac:dyDescent="0.25">
      <c r="Y97" s="294" t="s">
        <v>347</v>
      </c>
    </row>
  </sheetData>
  <mergeCells count="25"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36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D12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R13" sqref="R13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6"/>
    <col min="16" max="18" width="9" style="6"/>
    <col min="19" max="21" width="9" style="7"/>
    <col min="22" max="25" width="9" style="6"/>
    <col min="26" max="26" width="10.5" style="6" bestFit="1" customWidth="1"/>
    <col min="27" max="27" width="9.125" style="6" bestFit="1" customWidth="1"/>
    <col min="28" max="28" width="9" style="6"/>
    <col min="29" max="29" width="9" style="117" bestFit="1" customWidth="1"/>
    <col min="30" max="44" width="9" style="6"/>
    <col min="45" max="45" width="15.875" style="6" bestFit="1" customWidth="1"/>
    <col min="46" max="46" width="10" style="6" bestFit="1" customWidth="1"/>
    <col min="47" max="47" width="9" style="6"/>
    <col min="48" max="48" width="10.125" style="6" bestFit="1" customWidth="1"/>
    <col min="49" max="16384" width="9" style="6"/>
  </cols>
  <sheetData>
    <row r="1" spans="2:47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3" t="s">
        <v>13</v>
      </c>
      <c r="M1" s="191" t="s">
        <v>14</v>
      </c>
      <c r="N1" s="231" t="s">
        <v>15</v>
      </c>
      <c r="O1" s="191" t="s">
        <v>108</v>
      </c>
      <c r="P1" s="153" t="s">
        <v>365</v>
      </c>
      <c r="Q1" s="2"/>
      <c r="R1" s="2"/>
      <c r="S1" s="64" t="s">
        <v>8</v>
      </c>
      <c r="T1" s="154" t="s">
        <v>13</v>
      </c>
      <c r="U1" s="64" t="s">
        <v>14</v>
      </c>
      <c r="V1" s="235" t="s">
        <v>15</v>
      </c>
      <c r="W1" s="278" t="s">
        <v>108</v>
      </c>
      <c r="Z1" s="2" t="s">
        <v>89</v>
      </c>
      <c r="AA1" s="2" t="s">
        <v>90</v>
      </c>
      <c r="AB1" s="2" t="s">
        <v>91</v>
      </c>
      <c r="AC1" s="108" t="s">
        <v>95</v>
      </c>
      <c r="AD1" s="2" t="s">
        <v>96</v>
      </c>
      <c r="AE1" s="2" t="s">
        <v>97</v>
      </c>
      <c r="AF1" s="2" t="s">
        <v>98</v>
      </c>
      <c r="AG1" s="2" t="s">
        <v>99</v>
      </c>
      <c r="AH1" s="2" t="s">
        <v>100</v>
      </c>
      <c r="AI1" s="2" t="s">
        <v>101</v>
      </c>
      <c r="AJ1" s="2" t="s">
        <v>102</v>
      </c>
      <c r="AK1" s="2" t="s">
        <v>103</v>
      </c>
      <c r="AL1" s="2" t="s">
        <v>104</v>
      </c>
      <c r="AM1" s="2" t="s">
        <v>105</v>
      </c>
      <c r="AN1" s="2" t="s">
        <v>106</v>
      </c>
      <c r="AO1" s="2" t="s">
        <v>107</v>
      </c>
      <c r="AP1" s="2" t="s">
        <v>112</v>
      </c>
      <c r="AQ1" s="2" t="s">
        <v>113</v>
      </c>
    </row>
    <row r="2" spans="2:47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S2" s="65" t="s">
        <v>285</v>
      </c>
      <c r="T2" s="155" t="s">
        <v>286</v>
      </c>
      <c r="U2" s="65" t="s">
        <v>285</v>
      </c>
      <c r="V2" s="236" t="s">
        <v>287</v>
      </c>
      <c r="W2" s="236" t="s">
        <v>287</v>
      </c>
      <c r="Z2" s="33">
        <v>44196</v>
      </c>
      <c r="AA2" s="33">
        <v>44561</v>
      </c>
      <c r="AB2" s="254">
        <v>44926</v>
      </c>
      <c r="AC2" s="109" t="s">
        <v>119</v>
      </c>
      <c r="AD2" s="4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</row>
    <row r="3" spans="2:47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9">
        <v>655.34400000000005</v>
      </c>
      <c r="P3" s="3">
        <v>680.76599999999996</v>
      </c>
      <c r="S3" s="66">
        <f>G3*1.67</f>
        <v>646.24991999999997</v>
      </c>
      <c r="T3" s="156">
        <f>H3*1.23</f>
        <v>558.54300000000001</v>
      </c>
      <c r="U3" s="66">
        <f>I3*1.25</f>
        <v>636.67000000000007</v>
      </c>
      <c r="V3" s="237">
        <v>621.24839999999995</v>
      </c>
      <c r="W3" s="279">
        <v>607.95420000000001</v>
      </c>
      <c r="Z3" s="3">
        <f>SUM(C3:F3)</f>
        <v>923.88499999999999</v>
      </c>
      <c r="AA3" s="3">
        <f>SUM(G3:J3)</f>
        <v>1919.181</v>
      </c>
      <c r="AB3" s="3">
        <f>SUM(K3:N3)</f>
        <v>2225.0519999999997</v>
      </c>
      <c r="AC3" s="114">
        <f>AB3*1.17</f>
        <v>2603.3108399999996</v>
      </c>
      <c r="AD3" s="3">
        <f t="shared" ref="AD3:AO3" si="0">AC3*1.15</f>
        <v>2993.8074659999993</v>
      </c>
      <c r="AE3" s="3">
        <f t="shared" si="0"/>
        <v>3442.8785858999991</v>
      </c>
      <c r="AF3" s="3">
        <f t="shared" si="0"/>
        <v>3959.3103737849988</v>
      </c>
      <c r="AG3" s="3">
        <f>AF3*1.05</f>
        <v>4157.2758924742493</v>
      </c>
      <c r="AH3" s="3">
        <f t="shared" si="0"/>
        <v>4780.867276345386</v>
      </c>
      <c r="AI3" s="3">
        <f t="shared" si="0"/>
        <v>5497.9973677971939</v>
      </c>
      <c r="AJ3" s="3">
        <f t="shared" si="0"/>
        <v>6322.6969729667726</v>
      </c>
      <c r="AK3" s="3">
        <f t="shared" si="0"/>
        <v>7271.1015189117879</v>
      </c>
      <c r="AL3" s="3">
        <f t="shared" si="0"/>
        <v>8361.7667467485553</v>
      </c>
      <c r="AM3" s="3">
        <f t="shared" si="0"/>
        <v>9616.031758760837</v>
      </c>
      <c r="AN3" s="3">
        <f t="shared" si="0"/>
        <v>11058.436522574963</v>
      </c>
      <c r="AO3" s="3">
        <f t="shared" si="0"/>
        <v>12717.202000961206</v>
      </c>
      <c r="AP3" s="3">
        <f t="shared" ref="AP3:AQ3" si="1">AO3*1.15</f>
        <v>14624.782301105386</v>
      </c>
      <c r="AQ3" s="3">
        <f t="shared" si="1"/>
        <v>16818.499646271193</v>
      </c>
    </row>
    <row r="4" spans="2:47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4">
        <v>151.84100000000001</v>
      </c>
      <c r="P4" s="6">
        <v>162.029</v>
      </c>
      <c r="S4" s="67">
        <f>S3-S5</f>
        <v>174.48747839999999</v>
      </c>
      <c r="T4" s="157">
        <f>T3-T5</f>
        <v>145.22118</v>
      </c>
      <c r="U4" s="67">
        <f>U3-U5</f>
        <v>165.5342</v>
      </c>
      <c r="V4" s="238">
        <v>107.47144999999999</v>
      </c>
      <c r="W4" s="280">
        <v>151.98855</v>
      </c>
      <c r="Z4" s="36">
        <f>SUM(C4:F4)</f>
        <v>239.89799999999997</v>
      </c>
      <c r="AA4" s="36">
        <f>SUM(G4:J4)</f>
        <v>496.87</v>
      </c>
      <c r="AB4" s="225">
        <f>SUM(K4:N4)</f>
        <v>547.65800000000002</v>
      </c>
      <c r="AC4" s="115">
        <f>AC3-AC5</f>
        <v>598.7614931999999</v>
      </c>
      <c r="AD4" s="9">
        <f t="shared" ref="AD4:AO4" si="2">AD3-AD5</f>
        <v>688.57571717999963</v>
      </c>
      <c r="AE4" s="9">
        <f t="shared" si="2"/>
        <v>791.86207475699985</v>
      </c>
      <c r="AF4" s="9">
        <f t="shared" si="2"/>
        <v>910.64138597054944</v>
      </c>
      <c r="AG4" s="9">
        <f t="shared" si="2"/>
        <v>956.17345526907729</v>
      </c>
      <c r="AH4" s="9">
        <f t="shared" si="2"/>
        <v>1099.5994735594386</v>
      </c>
      <c r="AI4" s="9">
        <f t="shared" si="2"/>
        <v>1264.5393945933547</v>
      </c>
      <c r="AJ4" s="9">
        <f t="shared" si="2"/>
        <v>1454.2203037823574</v>
      </c>
      <c r="AK4" s="9">
        <f t="shared" si="2"/>
        <v>1672.3533493497107</v>
      </c>
      <c r="AL4" s="9">
        <f t="shared" si="2"/>
        <v>1923.2063517521674</v>
      </c>
      <c r="AM4" s="9">
        <f t="shared" si="2"/>
        <v>2211.6873045149923</v>
      </c>
      <c r="AN4" s="9">
        <f t="shared" si="2"/>
        <v>2543.4404001922412</v>
      </c>
      <c r="AO4" s="9">
        <f t="shared" si="2"/>
        <v>2924.9564602210776</v>
      </c>
      <c r="AP4" s="9">
        <f t="shared" ref="AP4" si="3">AP3-AP5</f>
        <v>3363.6999292542387</v>
      </c>
      <c r="AQ4" s="9">
        <f t="shared" ref="AQ4" si="4">AQ3-AQ5</f>
        <v>3868.2549186423748</v>
      </c>
    </row>
    <row r="5" spans="2:47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P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1"/>
      <c r="R5" s="1"/>
      <c r="S5" s="68">
        <f>S3*0.73</f>
        <v>471.76244159999999</v>
      </c>
      <c r="T5" s="158">
        <f>T3*0.74</f>
        <v>413.32182</v>
      </c>
      <c r="U5" s="68">
        <f>U3*0.74</f>
        <v>471.13580000000007</v>
      </c>
      <c r="V5" s="239">
        <v>472.14878399999998</v>
      </c>
      <c r="W5" s="281">
        <v>455.96564999999998</v>
      </c>
      <c r="X5" s="1"/>
      <c r="Y5" s="1"/>
      <c r="Z5" s="3">
        <f>Z3-Z4</f>
        <v>683.98700000000008</v>
      </c>
      <c r="AA5" s="3">
        <f>AA3-AA4</f>
        <v>1422.3110000000001</v>
      </c>
      <c r="AB5" s="3">
        <f>AB3-AB4</f>
        <v>1677.3939999999998</v>
      </c>
      <c r="AC5" s="114">
        <f>AC3*0.77</f>
        <v>2004.5493467999997</v>
      </c>
      <c r="AD5" s="3">
        <f>AD3*0.77</f>
        <v>2305.2317488199997</v>
      </c>
      <c r="AE5" s="3">
        <f t="shared" ref="AE5:AQ5" si="7">AE3*0.77</f>
        <v>2651.0165111429992</v>
      </c>
      <c r="AF5" s="3">
        <f t="shared" si="7"/>
        <v>3048.6689878144493</v>
      </c>
      <c r="AG5" s="3">
        <f t="shared" si="7"/>
        <v>3201.102437205172</v>
      </c>
      <c r="AH5" s="3">
        <f t="shared" si="7"/>
        <v>3681.2678027859474</v>
      </c>
      <c r="AI5" s="3">
        <f t="shared" si="7"/>
        <v>4233.4579732038392</v>
      </c>
      <c r="AJ5" s="3">
        <f t="shared" si="7"/>
        <v>4868.4766691844152</v>
      </c>
      <c r="AK5" s="3">
        <f t="shared" si="7"/>
        <v>5598.7481695620772</v>
      </c>
      <c r="AL5" s="3">
        <f t="shared" si="7"/>
        <v>6438.5603949963879</v>
      </c>
      <c r="AM5" s="3">
        <f t="shared" si="7"/>
        <v>7404.3444542458446</v>
      </c>
      <c r="AN5" s="3">
        <f t="shared" si="7"/>
        <v>8514.9961223827213</v>
      </c>
      <c r="AO5" s="3">
        <f t="shared" si="7"/>
        <v>9792.2455407401285</v>
      </c>
      <c r="AP5" s="3">
        <f t="shared" si="7"/>
        <v>11261.082371851147</v>
      </c>
      <c r="AQ5" s="3">
        <f t="shared" si="7"/>
        <v>12950.244727628819</v>
      </c>
    </row>
    <row r="6" spans="2:47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9">
        <v>182.11500000000001</v>
      </c>
      <c r="O6" s="274">
        <v>182.44</v>
      </c>
      <c r="P6" s="274">
        <v>165.84299999999999</v>
      </c>
      <c r="Q6" s="23"/>
      <c r="R6" s="23"/>
      <c r="S6" s="69">
        <f>G6*1.025</f>
        <v>121.91144999999999</v>
      </c>
      <c r="T6" s="159">
        <f>H6*1.23</f>
        <v>159.54821999999999</v>
      </c>
      <c r="U6" s="69">
        <f>I6*1.15</f>
        <v>149.44479999999999</v>
      </c>
      <c r="V6" s="240">
        <v>183.67455000000001</v>
      </c>
      <c r="W6" s="282"/>
      <c r="Z6" s="36">
        <f>SUM(C6:F6)</f>
        <v>328.74</v>
      </c>
      <c r="AA6" s="36">
        <f>SUM(G6:J6)</f>
        <v>538.32100000000003</v>
      </c>
      <c r="AB6" s="36">
        <f>SUM(K6:N6)</f>
        <v>623.85500000000002</v>
      </c>
      <c r="AC6" s="226">
        <f>AB6*1.015</f>
        <v>633.21282499999995</v>
      </c>
      <c r="AD6" s="46">
        <f t="shared" ref="AD6:AO6" si="8">AC6*1.015</f>
        <v>642.71101737499987</v>
      </c>
      <c r="AE6" s="46">
        <f t="shared" si="8"/>
        <v>652.3516826356248</v>
      </c>
      <c r="AF6" s="46">
        <f t="shared" si="8"/>
        <v>662.13695787515906</v>
      </c>
      <c r="AG6" s="46">
        <f t="shared" si="8"/>
        <v>672.06901224328635</v>
      </c>
      <c r="AH6" s="46">
        <f t="shared" si="8"/>
        <v>682.15004742693554</v>
      </c>
      <c r="AI6" s="46">
        <f t="shared" si="8"/>
        <v>692.38229813833948</v>
      </c>
      <c r="AJ6" s="46">
        <f t="shared" si="8"/>
        <v>702.76803261041448</v>
      </c>
      <c r="AK6" s="46">
        <f t="shared" si="8"/>
        <v>713.30955309957062</v>
      </c>
      <c r="AL6" s="46">
        <f t="shared" si="8"/>
        <v>724.00919639606411</v>
      </c>
      <c r="AM6" s="46">
        <f t="shared" si="8"/>
        <v>734.869334342005</v>
      </c>
      <c r="AN6" s="46">
        <f t="shared" si="8"/>
        <v>745.89237435713505</v>
      </c>
      <c r="AO6" s="46">
        <f t="shared" si="8"/>
        <v>757.08075997249205</v>
      </c>
      <c r="AP6" s="46">
        <f t="shared" ref="AP6:AQ6" si="9">AO6*1.015</f>
        <v>768.43697137207937</v>
      </c>
      <c r="AQ6" s="46">
        <f t="shared" si="9"/>
        <v>779.96352594266045</v>
      </c>
    </row>
    <row r="7" spans="2:47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9">
        <v>198.505</v>
      </c>
      <c r="O7" s="274">
        <v>211.04400000000001</v>
      </c>
      <c r="P7" s="274">
        <v>225.03899999999999</v>
      </c>
      <c r="Q7" s="23"/>
      <c r="R7" s="23"/>
      <c r="S7" s="69">
        <f>J7*1.11</f>
        <v>150.94779000000003</v>
      </c>
      <c r="T7" s="159">
        <f>H7*1.5</f>
        <v>163.47900000000001</v>
      </c>
      <c r="U7" s="69">
        <f>I7*1.5</f>
        <v>176.0805</v>
      </c>
      <c r="V7" s="240">
        <v>203.98349999999999</v>
      </c>
      <c r="W7" s="282"/>
      <c r="Z7" s="36">
        <f>SUM(C7:F7)</f>
        <v>264.226</v>
      </c>
      <c r="AA7" s="36">
        <f>SUM(G7:J7)</f>
        <v>456.49800000000005</v>
      </c>
      <c r="AB7" s="36">
        <f>SUM(K7:N7)</f>
        <v>689.08100000000002</v>
      </c>
      <c r="AC7" s="226">
        <f>AB7*1.05</f>
        <v>723.53505000000007</v>
      </c>
      <c r="AD7" s="46">
        <f t="shared" ref="AD7:AO7" si="10">AC7*1.05</f>
        <v>759.71180250000009</v>
      </c>
      <c r="AE7" s="46">
        <f t="shared" si="10"/>
        <v>797.69739262500013</v>
      </c>
      <c r="AF7" s="46">
        <f t="shared" si="10"/>
        <v>837.58226225625015</v>
      </c>
      <c r="AG7" s="46">
        <f t="shared" si="10"/>
        <v>879.46137536906269</v>
      </c>
      <c r="AH7" s="46">
        <f t="shared" si="10"/>
        <v>923.43444413751581</v>
      </c>
      <c r="AI7" s="46">
        <f t="shared" si="10"/>
        <v>969.60616634439168</v>
      </c>
      <c r="AJ7" s="46">
        <f t="shared" si="10"/>
        <v>1018.0864746616113</v>
      </c>
      <c r="AK7" s="46">
        <f t="shared" si="10"/>
        <v>1068.9907983946919</v>
      </c>
      <c r="AL7" s="46">
        <f t="shared" si="10"/>
        <v>1122.4403383144265</v>
      </c>
      <c r="AM7" s="46">
        <f t="shared" si="10"/>
        <v>1178.5623552301479</v>
      </c>
      <c r="AN7" s="46">
        <f t="shared" si="10"/>
        <v>1237.4904729916552</v>
      </c>
      <c r="AO7" s="46">
        <f t="shared" si="10"/>
        <v>1299.3649966412381</v>
      </c>
      <c r="AP7" s="46">
        <f t="shared" ref="AP7:AQ7" si="11">AO7*1.05</f>
        <v>1364.3332464733001</v>
      </c>
      <c r="AQ7" s="46">
        <f t="shared" si="11"/>
        <v>1432.5499087969652</v>
      </c>
    </row>
    <row r="8" spans="2:47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20">
        <v>248.40700000000001</v>
      </c>
      <c r="O8" s="184">
        <v>275.53699999999998</v>
      </c>
      <c r="P8" s="184">
        <v>315.31900000000002</v>
      </c>
      <c r="Q8" s="61"/>
      <c r="R8" s="61"/>
      <c r="S8" s="70">
        <f>J8*1.1</f>
        <v>190.92700000000002</v>
      </c>
      <c r="T8" s="160">
        <f>K8*1.012</f>
        <v>179.89514400000002</v>
      </c>
      <c r="U8" s="70">
        <f>T8*1.012</f>
        <v>182.05388572800001</v>
      </c>
      <c r="V8" s="241">
        <v>254.39508000000001</v>
      </c>
      <c r="W8" s="283">
        <v>255.85921000000002</v>
      </c>
      <c r="Z8" s="36">
        <f>SUM(C8:F8)</f>
        <v>201.43299999999999</v>
      </c>
      <c r="AA8" s="36">
        <f>SUM(G8:J8)</f>
        <v>533.20699999999999</v>
      </c>
      <c r="AB8" s="36">
        <f>SUM(K8:N8)</f>
        <v>873.47699999999998</v>
      </c>
      <c r="AC8" s="226">
        <f>AB8*1</f>
        <v>873.47699999999998</v>
      </c>
      <c r="AD8" s="46">
        <f t="shared" ref="AD8:AO8" si="12">AC8*1</f>
        <v>873.47699999999998</v>
      </c>
      <c r="AE8" s="46">
        <f t="shared" si="12"/>
        <v>873.47699999999998</v>
      </c>
      <c r="AF8" s="46">
        <f t="shared" si="12"/>
        <v>873.47699999999998</v>
      </c>
      <c r="AG8" s="46">
        <f t="shared" si="12"/>
        <v>873.47699999999998</v>
      </c>
      <c r="AH8" s="46">
        <f t="shared" si="12"/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si="12"/>
        <v>873.47699999999998</v>
      </c>
      <c r="AP8" s="46">
        <f t="shared" ref="AP8:AQ8" si="13">AO8*1</f>
        <v>873.47699999999998</v>
      </c>
      <c r="AQ8" s="46">
        <f t="shared" si="13"/>
        <v>873.47699999999998</v>
      </c>
    </row>
    <row r="9" spans="2:47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4">
        <v>97.573999999999998</v>
      </c>
      <c r="P9" s="184">
        <v>96.197000000000003</v>
      </c>
      <c r="Q9" s="23"/>
      <c r="R9" s="23"/>
      <c r="S9" s="67">
        <f>G9*1.01</f>
        <v>95.318749999999994</v>
      </c>
      <c r="T9" s="157">
        <f>K9*1.01</f>
        <v>58.349719999999998</v>
      </c>
      <c r="U9" s="67">
        <f>T9*1.01</f>
        <v>58.933217200000001</v>
      </c>
      <c r="V9" s="238">
        <v>81.976650000000006</v>
      </c>
      <c r="W9" s="280"/>
      <c r="Z9" s="36">
        <f>SUM(C9:F9)</f>
        <v>97.340999999999994</v>
      </c>
      <c r="AA9" s="36">
        <f>SUM(G9:J9)</f>
        <v>303.02</v>
      </c>
      <c r="AB9" s="36">
        <f>SUM(K9:N9)</f>
        <v>297.31700000000001</v>
      </c>
      <c r="AC9" s="226">
        <f>AB9*1</f>
        <v>297.31700000000001</v>
      </c>
      <c r="AD9" s="46">
        <f t="shared" ref="AD9:AO9" si="14">AC9*1</f>
        <v>297.31700000000001</v>
      </c>
      <c r="AE9" s="46">
        <f t="shared" si="14"/>
        <v>297.31700000000001</v>
      </c>
      <c r="AF9" s="46">
        <f t="shared" si="14"/>
        <v>297.31700000000001</v>
      </c>
      <c r="AG9" s="46">
        <f t="shared" si="14"/>
        <v>297.31700000000001</v>
      </c>
      <c r="AH9" s="46">
        <f t="shared" si="14"/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si="14"/>
        <v>297.31700000000001</v>
      </c>
      <c r="AP9" s="46">
        <f t="shared" ref="AP9:AQ9" si="15">AO9*1</f>
        <v>297.31700000000001</v>
      </c>
      <c r="AQ9" s="46">
        <f t="shared" si="15"/>
        <v>297.31700000000001</v>
      </c>
    </row>
    <row r="10" spans="2:47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20">
        <v>29.74</v>
      </c>
      <c r="O10" s="184">
        <v>26.754999999999999</v>
      </c>
      <c r="P10" s="184">
        <v>30.327999999999999</v>
      </c>
      <c r="Q10" s="23"/>
      <c r="R10" s="23"/>
      <c r="S10" s="71">
        <v>25</v>
      </c>
      <c r="T10" s="160">
        <f>K10*1.05</f>
        <v>30.557100000000002</v>
      </c>
      <c r="U10" s="70">
        <f>T10*1.05</f>
        <v>32.084955000000001</v>
      </c>
      <c r="V10" s="241">
        <v>33.710249999999995</v>
      </c>
      <c r="W10" s="284"/>
      <c r="Z10" s="36">
        <f>SUM(C10:F10)</f>
        <v>58.384</v>
      </c>
      <c r="AA10" s="36">
        <f>SUM(G10:J10)</f>
        <v>86.363</v>
      </c>
      <c r="AB10" s="36">
        <f>SUM(K10:N10)</f>
        <v>117.44799999999999</v>
      </c>
      <c r="AC10" s="226">
        <f>AB10*0.95</f>
        <v>111.57559999999999</v>
      </c>
      <c r="AD10" s="46">
        <f t="shared" ref="AD10:AO10" si="16">AC10*0.95</f>
        <v>105.99681999999999</v>
      </c>
      <c r="AE10" s="46">
        <f t="shared" si="16"/>
        <v>100.69697899999998</v>
      </c>
      <c r="AF10" s="46">
        <f t="shared" si="16"/>
        <v>95.662130049999988</v>
      </c>
      <c r="AG10" s="46">
        <f t="shared" si="16"/>
        <v>90.879023547499983</v>
      </c>
      <c r="AH10" s="46">
        <f t="shared" si="16"/>
        <v>86.335072370124976</v>
      </c>
      <c r="AI10" s="46">
        <f t="shared" si="16"/>
        <v>82.018318751618722</v>
      </c>
      <c r="AJ10" s="46">
        <f t="shared" si="16"/>
        <v>77.917402814037786</v>
      </c>
      <c r="AK10" s="46">
        <f t="shared" si="16"/>
        <v>74.021532673335898</v>
      </c>
      <c r="AL10" s="46">
        <f t="shared" si="16"/>
        <v>70.320456039669097</v>
      </c>
      <c r="AM10" s="46">
        <f t="shared" si="16"/>
        <v>66.804433237685643</v>
      </c>
      <c r="AN10" s="46">
        <f t="shared" si="16"/>
        <v>63.464211575801357</v>
      </c>
      <c r="AO10" s="46">
        <f t="shared" si="16"/>
        <v>60.291000997011288</v>
      </c>
      <c r="AP10" s="46">
        <f t="shared" ref="AP10:AQ10" si="17">AO10*0.95</f>
        <v>57.276450947160718</v>
      </c>
      <c r="AQ10" s="46">
        <f t="shared" si="17"/>
        <v>54.412628399802678</v>
      </c>
    </row>
    <row r="11" spans="2:47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5">
        <f t="shared" si="20"/>
        <v>738.471</v>
      </c>
      <c r="O11" s="5">
        <f t="shared" ref="O11:P11" si="22">O10+O9+O8+O7+O6</f>
        <v>793.34999999999991</v>
      </c>
      <c r="P11" s="5">
        <f t="shared" si="22"/>
        <v>832.726</v>
      </c>
      <c r="S11" s="67">
        <f>S10+S9+S8+S7+S6</f>
        <v>584.10499000000004</v>
      </c>
      <c r="T11" s="157">
        <f>T10+T9+T8+T7+T6</f>
        <v>591.82918400000005</v>
      </c>
      <c r="U11" s="67">
        <f>U10+U9+U8+U7+U6</f>
        <v>598.59735792800006</v>
      </c>
      <c r="V11" s="238">
        <v>757.74002999999993</v>
      </c>
      <c r="W11" s="280"/>
      <c r="Z11" s="9">
        <f>SUM(Z6:Z10)</f>
        <v>950.12400000000002</v>
      </c>
      <c r="AA11" s="9">
        <f>SUM(AA6:AA10)</f>
        <v>1917.4090000000001</v>
      </c>
      <c r="AB11" s="9">
        <f>SUM(AB6:AB10)</f>
        <v>2601.1779999999999</v>
      </c>
      <c r="AC11" s="115">
        <f t="shared" ref="AC11:AO11" si="23">SUM(AC6:AC10)</f>
        <v>2639.117475</v>
      </c>
      <c r="AD11" s="9">
        <f t="shared" si="23"/>
        <v>2679.2136398749999</v>
      </c>
      <c r="AE11" s="9">
        <f t="shared" si="23"/>
        <v>2721.5400542606249</v>
      </c>
      <c r="AF11" s="9">
        <f t="shared" si="23"/>
        <v>2766.1753501814092</v>
      </c>
      <c r="AG11" s="9">
        <f t="shared" si="23"/>
        <v>2813.2034111598487</v>
      </c>
      <c r="AH11" s="9">
        <f t="shared" si="23"/>
        <v>2862.7135639345765</v>
      </c>
      <c r="AI11" s="9">
        <f t="shared" si="23"/>
        <v>2914.8007832343496</v>
      </c>
      <c r="AJ11" s="9">
        <f t="shared" si="23"/>
        <v>2969.5659100860635</v>
      </c>
      <c r="AK11" s="9">
        <f t="shared" si="23"/>
        <v>3027.1158841675983</v>
      </c>
      <c r="AL11" s="9">
        <f t="shared" si="23"/>
        <v>3087.5639907501595</v>
      </c>
      <c r="AM11" s="9">
        <f t="shared" si="23"/>
        <v>3151.0301228098388</v>
      </c>
      <c r="AN11" s="9">
        <f t="shared" si="23"/>
        <v>3217.6410589245916</v>
      </c>
      <c r="AO11" s="9">
        <f t="shared" si="23"/>
        <v>3287.5307576107416</v>
      </c>
      <c r="AP11" s="9">
        <f t="shared" ref="AP11" si="24">SUM(AP6:AP10)</f>
        <v>3360.8406687925399</v>
      </c>
      <c r="AQ11" s="9">
        <f t="shared" ref="AQ11" si="25">SUM(AQ6:AQ10)</f>
        <v>3437.720063139428</v>
      </c>
    </row>
    <row r="12" spans="2:47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4">
        <f t="shared" si="29"/>
        <v>-301.899</v>
      </c>
      <c r="O12" s="4">
        <f t="shared" ref="O12:P12" si="30">O5-O11</f>
        <v>-289.84699999999987</v>
      </c>
      <c r="P12" s="4">
        <f t="shared" si="30"/>
        <v>-313.98900000000003</v>
      </c>
      <c r="S12" s="66">
        <f>S5-S11</f>
        <v>-112.34254840000006</v>
      </c>
      <c r="T12" s="156">
        <f>T5-T11</f>
        <v>-178.50736400000005</v>
      </c>
      <c r="U12" s="66">
        <f>U5-U11</f>
        <v>-127.46155792799999</v>
      </c>
      <c r="V12" s="237">
        <v>-285.59124599999996</v>
      </c>
      <c r="W12" s="285"/>
      <c r="Z12" s="4">
        <f>Z5-Z11</f>
        <v>-266.13699999999994</v>
      </c>
      <c r="AA12" s="4">
        <f>AA5-AA11</f>
        <v>-495.09799999999996</v>
      </c>
      <c r="AB12" s="4">
        <f>AB5-AB11</f>
        <v>-923.78400000000011</v>
      </c>
      <c r="AC12" s="110">
        <f t="shared" ref="AC12:AO12" si="31">AC5-AC11</f>
        <v>-634.56812820000027</v>
      </c>
      <c r="AD12" s="4">
        <f t="shared" si="31"/>
        <v>-373.98189105500023</v>
      </c>
      <c r="AE12" s="4">
        <f t="shared" si="31"/>
        <v>-70.52354311762565</v>
      </c>
      <c r="AF12" s="4">
        <f t="shared" si="31"/>
        <v>282.49363763304018</v>
      </c>
      <c r="AG12" s="4">
        <f t="shared" si="31"/>
        <v>387.89902604532335</v>
      </c>
      <c r="AH12" s="4">
        <f t="shared" si="31"/>
        <v>818.55423885137088</v>
      </c>
      <c r="AI12" s="4">
        <f t="shared" si="31"/>
        <v>1318.6571899694895</v>
      </c>
      <c r="AJ12" s="4">
        <f t="shared" si="31"/>
        <v>1898.9107590983517</v>
      </c>
      <c r="AK12" s="4">
        <f t="shared" si="31"/>
        <v>2571.6322853944789</v>
      </c>
      <c r="AL12" s="4">
        <f t="shared" si="31"/>
        <v>3350.9964042462284</v>
      </c>
      <c r="AM12" s="4">
        <f t="shared" si="31"/>
        <v>4253.3143314360059</v>
      </c>
      <c r="AN12" s="4">
        <f t="shared" si="31"/>
        <v>5297.3550634581297</v>
      </c>
      <c r="AO12" s="4">
        <f t="shared" si="31"/>
        <v>6504.7147831293869</v>
      </c>
      <c r="AP12" s="4">
        <f t="shared" ref="AP12" si="32">AP5-AP11</f>
        <v>7900.2417030586075</v>
      </c>
      <c r="AQ12" s="4">
        <f t="shared" ref="AQ12" si="33">AQ5-AQ11</f>
        <v>9512.5246644893905</v>
      </c>
    </row>
    <row r="13" spans="2:47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4">
        <f>31.082-10.012</f>
        <v>21.07</v>
      </c>
      <c r="P13" s="6">
        <f>34.764-10.129</f>
        <v>24.635000000000005</v>
      </c>
      <c r="S13" s="67">
        <f>G13</f>
        <v>5.0000000000000001E-3</v>
      </c>
      <c r="T13" s="157">
        <f>H13</f>
        <v>2.5999999999999999E-2</v>
      </c>
      <c r="U13" s="67">
        <f>I13</f>
        <v>2.8000000000000001E-2</v>
      </c>
      <c r="V13" s="238">
        <v>3.3000000000000002E-2</v>
      </c>
      <c r="W13" s="280"/>
      <c r="Z13" s="36">
        <f>SUM(C13:F13)</f>
        <v>1.8220000000000003</v>
      </c>
      <c r="AA13" s="36">
        <f>SUM(G13:J13)</f>
        <v>9.1999999999999998E-2</v>
      </c>
      <c r="AB13" s="36">
        <f>SUM(K13:N13)</f>
        <v>18.942999999999998</v>
      </c>
      <c r="AC13" s="226">
        <f>AB13*1.008</f>
        <v>19.094543999999999</v>
      </c>
      <c r="AD13" s="46">
        <f t="shared" ref="AD13:AO13" si="34">AC13*1.008</f>
        <v>19.247300352</v>
      </c>
      <c r="AE13" s="46">
        <f t="shared" si="34"/>
        <v>19.401278754816001</v>
      </c>
      <c r="AF13" s="46">
        <f t="shared" si="34"/>
        <v>19.556488984854528</v>
      </c>
      <c r="AG13" s="46">
        <f t="shared" si="34"/>
        <v>19.712940896733365</v>
      </c>
      <c r="AH13" s="46">
        <f t="shared" si="34"/>
        <v>19.870644423907233</v>
      </c>
      <c r="AI13" s="46">
        <f t="shared" si="34"/>
        <v>20.029609579298491</v>
      </c>
      <c r="AJ13" s="46">
        <f t="shared" si="34"/>
        <v>20.18984645593288</v>
      </c>
      <c r="AK13" s="46">
        <f t="shared" si="34"/>
        <v>20.351365227580342</v>
      </c>
      <c r="AL13" s="46">
        <f t="shared" si="34"/>
        <v>20.514176149400985</v>
      </c>
      <c r="AM13" s="46">
        <f t="shared" si="34"/>
        <v>20.678289558596195</v>
      </c>
      <c r="AN13" s="46">
        <f t="shared" si="34"/>
        <v>20.843715875064966</v>
      </c>
      <c r="AO13" s="46">
        <f t="shared" si="34"/>
        <v>21.010465602065487</v>
      </c>
      <c r="AP13" s="46">
        <f t="shared" ref="AP13:AQ13" si="35">AO13*1.008</f>
        <v>21.17854932688201</v>
      </c>
      <c r="AQ13" s="46">
        <f t="shared" si="35"/>
        <v>21.347977721497067</v>
      </c>
      <c r="AU13" s="34"/>
    </row>
    <row r="14" spans="2:47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70">
        <v>0</v>
      </c>
      <c r="P14" s="270">
        <v>3.2770000000000001</v>
      </c>
      <c r="S14" s="72">
        <f>G14</f>
        <v>0</v>
      </c>
      <c r="T14" s="161">
        <f>H14</f>
        <v>0</v>
      </c>
      <c r="U14" s="72">
        <f>I14</f>
        <v>0</v>
      </c>
      <c r="V14" s="242">
        <v>1.4E-2</v>
      </c>
      <c r="W14" s="286"/>
      <c r="Z14" s="45">
        <f>T14</f>
        <v>0</v>
      </c>
      <c r="AA14" s="45">
        <f>SUM(G14:J14)</f>
        <v>1.4E-2</v>
      </c>
      <c r="AB14" s="36">
        <f t="shared" ref="AB14:AB18" si="36">SUM(K14:N14)</f>
        <v>2.0019999999999998</v>
      </c>
      <c r="AC14" s="227">
        <f>AB14</f>
        <v>2.0019999999999998</v>
      </c>
      <c r="AD14" s="47">
        <f t="shared" ref="AD14:AO14" si="37">AC14</f>
        <v>2.0019999999999998</v>
      </c>
      <c r="AE14" s="47">
        <f t="shared" si="37"/>
        <v>2.0019999999999998</v>
      </c>
      <c r="AF14" s="47">
        <f t="shared" si="37"/>
        <v>2.0019999999999998</v>
      </c>
      <c r="AG14" s="47">
        <f t="shared" si="37"/>
        <v>2.0019999999999998</v>
      </c>
      <c r="AH14" s="47">
        <f t="shared" si="37"/>
        <v>2.0019999999999998</v>
      </c>
      <c r="AI14" s="47">
        <f t="shared" si="37"/>
        <v>2.0019999999999998</v>
      </c>
      <c r="AJ14" s="47">
        <f t="shared" si="37"/>
        <v>2.0019999999999998</v>
      </c>
      <c r="AK14" s="47">
        <f t="shared" si="37"/>
        <v>2.0019999999999998</v>
      </c>
      <c r="AL14" s="47">
        <f t="shared" si="37"/>
        <v>2.0019999999999998</v>
      </c>
      <c r="AM14" s="47">
        <f t="shared" si="37"/>
        <v>2.0019999999999998</v>
      </c>
      <c r="AN14" s="47">
        <f t="shared" si="37"/>
        <v>2.0019999999999998</v>
      </c>
      <c r="AO14" s="47">
        <f t="shared" si="37"/>
        <v>2.0019999999999998</v>
      </c>
      <c r="AP14" s="47">
        <f t="shared" ref="AP14:AQ14" si="38">AO14</f>
        <v>2.0019999999999998</v>
      </c>
      <c r="AQ14" s="47">
        <f t="shared" si="38"/>
        <v>2.0019999999999998</v>
      </c>
    </row>
    <row r="15" spans="2:47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2">
        <f>4.302+10.005</f>
        <v>14.307</v>
      </c>
      <c r="N15" s="45">
        <v>0</v>
      </c>
      <c r="O15" s="270">
        <v>0.44</v>
      </c>
      <c r="P15" s="45">
        <v>0</v>
      </c>
      <c r="S15" s="72">
        <f>G15</f>
        <v>1.05</v>
      </c>
      <c r="T15" s="161">
        <f>H15</f>
        <v>0</v>
      </c>
      <c r="U15" s="72">
        <f>I15</f>
        <v>0.77</v>
      </c>
      <c r="V15" s="242">
        <v>6.9980000000000002</v>
      </c>
      <c r="W15" s="286"/>
      <c r="Z15" s="36">
        <f>SUM(C15:F15)</f>
        <v>3.157</v>
      </c>
      <c r="AA15" s="36">
        <f>SUM(G15:J15)</f>
        <v>8.8179999999999996</v>
      </c>
      <c r="AB15" s="36">
        <f t="shared" si="36"/>
        <v>27.736000000000001</v>
      </c>
      <c r="AC15" s="115">
        <f>AB15</f>
        <v>27.736000000000001</v>
      </c>
      <c r="AD15" s="9">
        <f t="shared" ref="AD15:AO15" si="39">AC15</f>
        <v>27.736000000000001</v>
      </c>
      <c r="AE15" s="9">
        <f t="shared" si="39"/>
        <v>27.736000000000001</v>
      </c>
      <c r="AF15" s="9">
        <f t="shared" si="39"/>
        <v>27.736000000000001</v>
      </c>
      <c r="AG15" s="9">
        <f t="shared" si="39"/>
        <v>27.736000000000001</v>
      </c>
      <c r="AH15" s="9">
        <f t="shared" si="39"/>
        <v>27.736000000000001</v>
      </c>
      <c r="AI15" s="9">
        <f t="shared" si="39"/>
        <v>27.736000000000001</v>
      </c>
      <c r="AJ15" s="9">
        <f t="shared" si="39"/>
        <v>27.736000000000001</v>
      </c>
      <c r="AK15" s="9">
        <f t="shared" si="39"/>
        <v>27.736000000000001</v>
      </c>
      <c r="AL15" s="9">
        <f t="shared" si="39"/>
        <v>27.736000000000001</v>
      </c>
      <c r="AM15" s="9">
        <f t="shared" si="39"/>
        <v>27.736000000000001</v>
      </c>
      <c r="AN15" s="9">
        <f t="shared" si="39"/>
        <v>27.736000000000001</v>
      </c>
      <c r="AO15" s="9">
        <f t="shared" si="39"/>
        <v>27.736000000000001</v>
      </c>
      <c r="AP15" s="9">
        <f t="shared" ref="AP15:AQ15" si="40">AO15</f>
        <v>27.736000000000001</v>
      </c>
      <c r="AQ15" s="9">
        <f t="shared" si="40"/>
        <v>27.736000000000001</v>
      </c>
    </row>
    <row r="16" spans="2:47" ht="15" x14ac:dyDescent="0.25">
      <c r="B16" s="6" t="s">
        <v>26</v>
      </c>
      <c r="C16" s="5">
        <f t="shared" ref="C16:P16" si="41">C12+C13+C14-C15</f>
        <v>-74.876000000000005</v>
      </c>
      <c r="D16" s="5">
        <f t="shared" si="41"/>
        <v>-72.257999999999996</v>
      </c>
      <c r="E16" s="5">
        <f t="shared" si="41"/>
        <v>-49.995000000000005</v>
      </c>
      <c r="F16" s="5">
        <f t="shared" si="41"/>
        <v>-67.217999999999975</v>
      </c>
      <c r="G16" s="5">
        <f t="shared" si="41"/>
        <v>-136.10100000000006</v>
      </c>
      <c r="H16" s="5">
        <f t="shared" si="41"/>
        <v>-142.91999999999996</v>
      </c>
      <c r="I16" s="5">
        <f t="shared" si="41"/>
        <v>-78.18799999999996</v>
      </c>
      <c r="J16" s="5">
        <f t="shared" si="41"/>
        <v>-146.60100000000003</v>
      </c>
      <c r="K16" s="5">
        <f t="shared" ref="K16" si="42">K12+K13+K14-K15</f>
        <v>-161.73000000000002</v>
      </c>
      <c r="L16" s="5">
        <f t="shared" si="41"/>
        <v>-179.01200000000003</v>
      </c>
      <c r="M16" s="5">
        <f t="shared" si="41"/>
        <v>-301.55000000000007</v>
      </c>
      <c r="N16" s="5">
        <f t="shared" si="41"/>
        <v>-288.28300000000002</v>
      </c>
      <c r="O16" s="5">
        <f t="shared" si="41"/>
        <v>-269.21699999999987</v>
      </c>
      <c r="P16" s="5">
        <f t="shared" si="41"/>
        <v>-286.07700000000006</v>
      </c>
      <c r="S16" s="67">
        <f>S12+S13+S14-S15</f>
        <v>-113.38754840000006</v>
      </c>
      <c r="T16" s="157">
        <f>T12+T13+T14-T15</f>
        <v>-178.48136400000004</v>
      </c>
      <c r="U16" s="67">
        <f>U12+U13+U14-U15</f>
        <v>-128.20355792799998</v>
      </c>
      <c r="V16" s="238">
        <v>-292.54224599999992</v>
      </c>
      <c r="W16" s="280"/>
      <c r="Z16" s="5">
        <f>Z12+Z13+Z14-Z15</f>
        <v>-267.47199999999992</v>
      </c>
      <c r="AA16" s="5">
        <f>AA12+AA13+AA14-AA15</f>
        <v>-503.80999999999995</v>
      </c>
      <c r="AB16" s="36">
        <f t="shared" si="36"/>
        <v>-930.57500000000016</v>
      </c>
      <c r="AC16" s="111">
        <f>AC12+AC13+AC14-AC15</f>
        <v>-641.20758420000027</v>
      </c>
      <c r="AD16" s="5">
        <f t="shared" ref="AD16:AO16" si="43">AD12+AD13+AD14-AD15</f>
        <v>-380.46859070300019</v>
      </c>
      <c r="AE16" s="5">
        <f t="shared" si="43"/>
        <v>-76.85626436280964</v>
      </c>
      <c r="AF16" s="5">
        <f t="shared" si="43"/>
        <v>276.31612661789472</v>
      </c>
      <c r="AG16" s="5">
        <f t="shared" si="43"/>
        <v>381.87796694205673</v>
      </c>
      <c r="AH16" s="5">
        <f t="shared" si="43"/>
        <v>812.69088327527811</v>
      </c>
      <c r="AI16" s="5">
        <f t="shared" si="43"/>
        <v>1312.9527995487879</v>
      </c>
      <c r="AJ16" s="5">
        <f t="shared" si="43"/>
        <v>1893.3666055542844</v>
      </c>
      <c r="AK16" s="5">
        <f t="shared" si="43"/>
        <v>2566.2496506220591</v>
      </c>
      <c r="AL16" s="5">
        <f t="shared" si="43"/>
        <v>3345.7765803956295</v>
      </c>
      <c r="AM16" s="5">
        <f t="shared" si="43"/>
        <v>4248.258620994603</v>
      </c>
      <c r="AN16" s="5">
        <f t="shared" si="43"/>
        <v>5292.4647793331951</v>
      </c>
      <c r="AO16" s="5">
        <f t="shared" si="43"/>
        <v>6499.9912487314532</v>
      </c>
      <c r="AP16" s="5">
        <f t="shared" ref="AP16" si="44">AP12+AP13+AP14-AP15</f>
        <v>7895.6862523854898</v>
      </c>
      <c r="AQ16" s="5">
        <f t="shared" ref="AQ16" si="45">AQ12+AQ13+AQ14-AQ15</f>
        <v>9508.1386422108881</v>
      </c>
    </row>
    <row r="17" spans="2:82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4">
        <v>0.73099999999999998</v>
      </c>
      <c r="P17" s="6">
        <v>-1.236</v>
      </c>
      <c r="S17" s="67">
        <f>J17*1.005</f>
        <v>0.65927999999999998</v>
      </c>
      <c r="T17" s="157">
        <f>K17*1.005</f>
        <v>0.27738000000000002</v>
      </c>
      <c r="U17" s="67">
        <f>T17*1.005</f>
        <v>0.27876689999999998</v>
      </c>
      <c r="V17" s="238">
        <v>0.35375999999999996</v>
      </c>
      <c r="W17" s="280"/>
      <c r="Z17" s="36">
        <f>SUM(C17:F17)</f>
        <v>-6.6559999999999997</v>
      </c>
      <c r="AA17" s="36">
        <f>SUM(G17:J17)</f>
        <v>-0.31999999999999995</v>
      </c>
      <c r="AB17" s="36">
        <f t="shared" si="36"/>
        <v>4.1079999999999997</v>
      </c>
      <c r="AC17" s="115">
        <f>AB17</f>
        <v>4.1079999999999997</v>
      </c>
      <c r="AD17" s="9">
        <f t="shared" ref="AD17:AO17" si="46">AC17</f>
        <v>4.1079999999999997</v>
      </c>
      <c r="AE17" s="9">
        <f t="shared" si="46"/>
        <v>4.1079999999999997</v>
      </c>
      <c r="AF17" s="9">
        <f t="shared" si="46"/>
        <v>4.1079999999999997</v>
      </c>
      <c r="AG17" s="9">
        <f t="shared" si="46"/>
        <v>4.1079999999999997</v>
      </c>
      <c r="AH17" s="9">
        <f t="shared" si="46"/>
        <v>4.1079999999999997</v>
      </c>
      <c r="AI17" s="9">
        <f t="shared" si="46"/>
        <v>4.1079999999999997</v>
      </c>
      <c r="AJ17" s="9">
        <f t="shared" si="46"/>
        <v>4.1079999999999997</v>
      </c>
      <c r="AK17" s="9">
        <f t="shared" si="46"/>
        <v>4.1079999999999997</v>
      </c>
      <c r="AL17" s="9">
        <f t="shared" si="46"/>
        <v>4.1079999999999997</v>
      </c>
      <c r="AM17" s="9">
        <f t="shared" si="46"/>
        <v>4.1079999999999997</v>
      </c>
      <c r="AN17" s="9">
        <f t="shared" si="46"/>
        <v>4.1079999999999997</v>
      </c>
      <c r="AO17" s="9">
        <f t="shared" si="46"/>
        <v>4.1079999999999997</v>
      </c>
      <c r="AP17" s="9">
        <f t="shared" ref="AP17:AQ17" si="47">AO17</f>
        <v>4.1079999999999997</v>
      </c>
      <c r="AQ17" s="9">
        <f t="shared" si="47"/>
        <v>4.1079999999999997</v>
      </c>
    </row>
    <row r="18" spans="2:82" ht="15" x14ac:dyDescent="0.25">
      <c r="B18" s="1" t="s">
        <v>27</v>
      </c>
      <c r="C18" s="4">
        <f t="shared" ref="C18:J18" si="48">+C16-C17</f>
        <v>-74.87700000000001</v>
      </c>
      <c r="D18" s="4">
        <f t="shared" si="48"/>
        <v>-72.262999999999991</v>
      </c>
      <c r="E18" s="4">
        <f t="shared" si="48"/>
        <v>-50.014000000000003</v>
      </c>
      <c r="F18" s="4">
        <f t="shared" si="48"/>
        <v>-60.536999999999978</v>
      </c>
      <c r="G18" s="4">
        <f t="shared" si="48"/>
        <v>-136.10300000000007</v>
      </c>
      <c r="H18" s="4">
        <f t="shared" si="48"/>
        <v>-142.93999999999997</v>
      </c>
      <c r="I18" s="4">
        <f t="shared" si="48"/>
        <v>-77.189999999999955</v>
      </c>
      <c r="J18" s="4">
        <f t="shared" si="48"/>
        <v>-147.25700000000003</v>
      </c>
      <c r="K18" s="4">
        <f t="shared" ref="K18:P18" si="49">+K16-K17</f>
        <v>-162.00600000000003</v>
      </c>
      <c r="L18" s="4">
        <f t="shared" si="49"/>
        <v>-179.29000000000002</v>
      </c>
      <c r="M18" s="4">
        <f t="shared" si="49"/>
        <v>-301.90200000000004</v>
      </c>
      <c r="N18" s="4">
        <f t="shared" si="49"/>
        <v>-291.48500000000001</v>
      </c>
      <c r="O18" s="4">
        <f t="shared" si="49"/>
        <v>-269.94799999999987</v>
      </c>
      <c r="P18" s="4">
        <f t="shared" si="49"/>
        <v>-284.84100000000007</v>
      </c>
      <c r="S18" s="66">
        <f>+S16-S17</f>
        <v>-114.04682840000005</v>
      </c>
      <c r="T18" s="156">
        <f>+T16-T17</f>
        <v>-178.75874400000004</v>
      </c>
      <c r="U18" s="66">
        <f>+U16-U17</f>
        <v>-128.48232482799997</v>
      </c>
      <c r="V18" s="237">
        <v>-292.89600599999994</v>
      </c>
      <c r="W18" s="285"/>
      <c r="Z18" s="3">
        <f>Z16-Z17</f>
        <v>-260.81599999999992</v>
      </c>
      <c r="AA18" s="3">
        <f>AA16-AA17</f>
        <v>-503.48999999999995</v>
      </c>
      <c r="AB18" s="3">
        <f t="shared" si="36"/>
        <v>-934.68300000000011</v>
      </c>
      <c r="AC18" s="114">
        <f>AC16-AC17</f>
        <v>-645.31558420000022</v>
      </c>
      <c r="AD18" s="3">
        <f t="shared" ref="AD18:AO18" si="50">AD16-AD17</f>
        <v>-384.57659070300019</v>
      </c>
      <c r="AE18" s="3">
        <f t="shared" si="50"/>
        <v>-80.964264362809644</v>
      </c>
      <c r="AF18" s="218">
        <f t="shared" si="50"/>
        <v>272.20812661789472</v>
      </c>
      <c r="AG18" s="3">
        <f t="shared" si="50"/>
        <v>377.76996694205673</v>
      </c>
      <c r="AH18" s="3">
        <f t="shared" si="50"/>
        <v>808.58288327527816</v>
      </c>
      <c r="AI18" s="3">
        <f t="shared" si="50"/>
        <v>1308.8447995487879</v>
      </c>
      <c r="AJ18" s="3">
        <f t="shared" si="50"/>
        <v>1889.2586055542845</v>
      </c>
      <c r="AK18" s="3">
        <f t="shared" si="50"/>
        <v>2562.1416506220589</v>
      </c>
      <c r="AL18" s="3">
        <f t="shared" si="50"/>
        <v>3341.6685803956293</v>
      </c>
      <c r="AM18" s="3">
        <f t="shared" si="50"/>
        <v>4244.1506209946028</v>
      </c>
      <c r="AN18" s="3">
        <f t="shared" si="50"/>
        <v>5288.3567793331949</v>
      </c>
      <c r="AO18" s="3">
        <f t="shared" si="50"/>
        <v>6495.883248731453</v>
      </c>
      <c r="AP18" s="3">
        <f t="shared" ref="AP18" si="51">AP16-AP17</f>
        <v>7891.5782523854896</v>
      </c>
      <c r="AQ18" s="3">
        <f t="shared" ref="AQ18" si="52">AQ16-AQ17</f>
        <v>9504.0306422108879</v>
      </c>
      <c r="AR18" s="3">
        <f>AQ18*(1+$AT$21)</f>
        <v>9408.9903357887797</v>
      </c>
      <c r="AS18" s="3">
        <f t="shared" ref="AS18:CD18" si="53">AR18*(1+$AT$21)</f>
        <v>9314.9004324308917</v>
      </c>
      <c r="AT18" s="3">
        <f t="shared" si="53"/>
        <v>9221.7514281065833</v>
      </c>
      <c r="AU18" s="3">
        <f t="shared" si="53"/>
        <v>9129.5339138255167</v>
      </c>
      <c r="AV18" s="3">
        <f t="shared" si="53"/>
        <v>9038.2385746872624</v>
      </c>
      <c r="AW18" s="3">
        <f t="shared" si="53"/>
        <v>8947.85618894039</v>
      </c>
      <c r="AX18" s="3">
        <f t="shared" si="53"/>
        <v>8858.3776270509861</v>
      </c>
      <c r="AY18" s="3">
        <f t="shared" si="53"/>
        <v>8769.7938507804756</v>
      </c>
      <c r="AZ18" s="3">
        <f t="shared" si="53"/>
        <v>8682.0959122726708</v>
      </c>
      <c r="BA18" s="3">
        <f t="shared" si="53"/>
        <v>8595.2749531499448</v>
      </c>
      <c r="BB18" s="3">
        <f t="shared" si="53"/>
        <v>8509.3222036184452</v>
      </c>
      <c r="BC18" s="3">
        <f t="shared" si="53"/>
        <v>8424.2289815822605</v>
      </c>
      <c r="BD18" s="3">
        <f t="shared" si="53"/>
        <v>8339.9866917664385</v>
      </c>
      <c r="BE18" s="3">
        <f t="shared" si="53"/>
        <v>8256.5868248487732</v>
      </c>
      <c r="BF18" s="3">
        <f t="shared" si="53"/>
        <v>8174.020956600285</v>
      </c>
      <c r="BG18" s="3">
        <f t="shared" si="53"/>
        <v>8092.2807470342823</v>
      </c>
      <c r="BH18" s="3">
        <f t="shared" si="53"/>
        <v>8011.357939563939</v>
      </c>
      <c r="BI18" s="3">
        <f t="shared" si="53"/>
        <v>7931.2443601682999</v>
      </c>
      <c r="BJ18" s="3">
        <f t="shared" si="53"/>
        <v>7851.9319165666166</v>
      </c>
      <c r="BK18" s="3">
        <f t="shared" si="53"/>
        <v>7773.4125974009503</v>
      </c>
      <c r="BL18" s="3">
        <f t="shared" si="53"/>
        <v>7695.6784714269406</v>
      </c>
      <c r="BM18" s="3">
        <f t="shared" si="53"/>
        <v>7618.7216867126708</v>
      </c>
      <c r="BN18" s="3">
        <f t="shared" si="53"/>
        <v>7542.5344698455438</v>
      </c>
      <c r="BO18" s="3">
        <f t="shared" si="53"/>
        <v>7467.109125147088</v>
      </c>
      <c r="BP18" s="3">
        <f t="shared" si="53"/>
        <v>7392.4380338956171</v>
      </c>
      <c r="BQ18" s="3">
        <f t="shared" si="53"/>
        <v>7318.5136535566608</v>
      </c>
      <c r="BR18" s="3">
        <f t="shared" si="53"/>
        <v>7245.3285170210938</v>
      </c>
      <c r="BS18" s="3">
        <f t="shared" si="53"/>
        <v>7172.8752318508832</v>
      </c>
      <c r="BT18" s="3">
        <f t="shared" si="53"/>
        <v>7101.1464795323745</v>
      </c>
      <c r="BU18" s="3">
        <f t="shared" si="53"/>
        <v>7030.1350147370504</v>
      </c>
      <c r="BV18" s="3">
        <f t="shared" si="53"/>
        <v>6959.8336645896798</v>
      </c>
      <c r="BW18" s="3">
        <f t="shared" si="53"/>
        <v>6890.235327943783</v>
      </c>
      <c r="BX18" s="3">
        <f t="shared" si="53"/>
        <v>6821.3329746643449</v>
      </c>
      <c r="BY18" s="3">
        <f t="shared" si="53"/>
        <v>6753.1196449177014</v>
      </c>
      <c r="BZ18" s="3">
        <f t="shared" si="53"/>
        <v>6685.5884484685239</v>
      </c>
      <c r="CA18" s="3">
        <f t="shared" si="53"/>
        <v>6618.7325639838382</v>
      </c>
      <c r="CB18" s="3">
        <f t="shared" si="53"/>
        <v>6552.5452383439997</v>
      </c>
      <c r="CC18" s="3">
        <f t="shared" si="53"/>
        <v>6487.0197859605596</v>
      </c>
      <c r="CD18" s="3">
        <f t="shared" si="53"/>
        <v>6422.1495881009541</v>
      </c>
    </row>
    <row r="19" spans="2:82" ht="15" x14ac:dyDescent="0.25">
      <c r="B19" s="6" t="s">
        <v>31</v>
      </c>
      <c r="C19" s="8">
        <f t="shared" ref="C19:P19" si="54">C18/C20</f>
        <v>-0.44164277878047925</v>
      </c>
      <c r="D19" s="8">
        <f t="shared" si="54"/>
        <v>-0.4007131132996184</v>
      </c>
      <c r="E19" s="8">
        <f t="shared" si="54"/>
        <v>-0.27262420007195265</v>
      </c>
      <c r="F19" s="8">
        <f t="shared" si="54"/>
        <v>-0.31020912226042652</v>
      </c>
      <c r="G19" s="8">
        <f t="shared" si="54"/>
        <v>-0.46758899798676645</v>
      </c>
      <c r="H19" s="8">
        <f t="shared" si="54"/>
        <v>-0.25020129529144053</v>
      </c>
      <c r="I19" s="8">
        <f t="shared" si="54"/>
        <v>-0.13402623920879539</v>
      </c>
      <c r="J19" s="8">
        <f t="shared" ref="J19:K19" si="55">J18/J20</f>
        <v>-0.25322121626385352</v>
      </c>
      <c r="K19" s="8">
        <f t="shared" si="55"/>
        <v>-0.27527649820482197</v>
      </c>
      <c r="L19" s="8">
        <f t="shared" si="54"/>
        <v>-0.30187160733287538</v>
      </c>
      <c r="M19" s="8">
        <f t="shared" si="54"/>
        <v>-0.50503948783747843</v>
      </c>
      <c r="N19" s="8">
        <f t="shared" si="54"/>
        <v>-0.4843077863752141</v>
      </c>
      <c r="O19" s="8">
        <f t="shared" si="54"/>
        <v>-0.44499099131770714</v>
      </c>
      <c r="P19" s="8">
        <f t="shared" si="54"/>
        <v>-0.46490307480630477</v>
      </c>
      <c r="S19" s="73">
        <f>S18/S20</f>
        <v>-0.1961134384000964</v>
      </c>
      <c r="T19" s="162">
        <f>T18/T20</f>
        <v>-0.30739120431272415</v>
      </c>
      <c r="U19" s="73">
        <f>U18/U20</f>
        <v>-0.21632643153378855</v>
      </c>
      <c r="V19" s="243">
        <v>-0.48997372942174272</v>
      </c>
      <c r="W19" s="287"/>
      <c r="Z19" s="8">
        <f>Z18/Z20</f>
        <v>-1.4321087303581006</v>
      </c>
      <c r="AA19" s="8">
        <f>AA18/AA20</f>
        <v>-0.99708838467978411</v>
      </c>
      <c r="AB19" s="8">
        <f>AB18/AB20</f>
        <v>-1.5529933090640833</v>
      </c>
      <c r="AC19" s="116">
        <f>AC18/AC20</f>
        <v>-1.0637590259084102</v>
      </c>
      <c r="AD19" s="34">
        <f t="shared" ref="AD19:AQ19" si="56">AD18/AD20</f>
        <v>-0.63394845797898947</v>
      </c>
      <c r="AE19" s="34">
        <f t="shared" si="56"/>
        <v>-0.13346410516142215</v>
      </c>
      <c r="AF19" s="34">
        <f t="shared" si="56"/>
        <v>0.44871665694294077</v>
      </c>
      <c r="AG19" s="34">
        <f t="shared" si="56"/>
        <v>0.62272819979997385</v>
      </c>
      <c r="AH19" s="34">
        <f t="shared" si="56"/>
        <v>1.332894108462356</v>
      </c>
      <c r="AI19" s="34">
        <f t="shared" si="56"/>
        <v>2.1575419889469125</v>
      </c>
      <c r="AJ19" s="34">
        <f t="shared" si="56"/>
        <v>3.1143148300454548</v>
      </c>
      <c r="AK19" s="34">
        <f t="shared" si="56"/>
        <v>4.2235169477332555</v>
      </c>
      <c r="AL19" s="34">
        <f t="shared" si="56"/>
        <v>5.5085142851419047</v>
      </c>
      <c r="AM19" s="34">
        <f t="shared" si="56"/>
        <v>6.9961947935826583</v>
      </c>
      <c r="AN19" s="34">
        <f t="shared" si="56"/>
        <v>8.7174979095129306</v>
      </c>
      <c r="AO19" s="34">
        <f t="shared" si="56"/>
        <v>10.708023494662299</v>
      </c>
      <c r="AP19" s="34">
        <f t="shared" si="56"/>
        <v>13.008732161713661</v>
      </c>
      <c r="AQ19" s="34">
        <f t="shared" si="56"/>
        <v>15.666750696398157</v>
      </c>
    </row>
    <row r="20" spans="2:82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5">
        <v>601.85900000000004</v>
      </c>
      <c r="O20" s="184">
        <v>606.63699999999994</v>
      </c>
      <c r="P20" s="184">
        <v>612.68899999999996</v>
      </c>
      <c r="S20" s="67">
        <v>581.53499999999997</v>
      </c>
      <c r="T20" s="157">
        <v>581.53499999999997</v>
      </c>
      <c r="U20" s="67">
        <f>L20</f>
        <v>593.928</v>
      </c>
      <c r="V20" s="238">
        <v>597.779</v>
      </c>
      <c r="W20" s="280"/>
      <c r="Z20" s="9">
        <f>AVERAGE(C20:F20)</f>
        <v>182.12025000000003</v>
      </c>
      <c r="AA20" s="9">
        <f>AVERAGE(G20:J20)</f>
        <v>504.96024999999997</v>
      </c>
      <c r="AB20" s="36">
        <f>N20</f>
        <v>601.85900000000004</v>
      </c>
      <c r="AC20" s="116">
        <f>O20</f>
        <v>606.63699999999994</v>
      </c>
      <c r="AD20" s="34">
        <f t="shared" ref="AD20:AO20" si="57">AC20</f>
        <v>606.63699999999994</v>
      </c>
      <c r="AE20" s="34">
        <f t="shared" si="57"/>
        <v>606.63699999999994</v>
      </c>
      <c r="AF20" s="34">
        <f t="shared" si="57"/>
        <v>606.63699999999994</v>
      </c>
      <c r="AG20" s="34">
        <f t="shared" si="57"/>
        <v>606.63699999999994</v>
      </c>
      <c r="AH20" s="34">
        <f t="shared" si="57"/>
        <v>606.63699999999994</v>
      </c>
      <c r="AI20" s="34">
        <f t="shared" si="57"/>
        <v>606.63699999999994</v>
      </c>
      <c r="AJ20" s="34">
        <f t="shared" si="57"/>
        <v>606.63699999999994</v>
      </c>
      <c r="AK20" s="34">
        <f t="shared" si="57"/>
        <v>606.63699999999994</v>
      </c>
      <c r="AL20" s="34">
        <f t="shared" si="57"/>
        <v>606.63699999999994</v>
      </c>
      <c r="AM20" s="34">
        <f t="shared" si="57"/>
        <v>606.63699999999994</v>
      </c>
      <c r="AN20" s="34">
        <f t="shared" si="57"/>
        <v>606.63699999999994</v>
      </c>
      <c r="AO20" s="34">
        <f t="shared" si="57"/>
        <v>606.63699999999994</v>
      </c>
      <c r="AP20" s="34">
        <f t="shared" ref="AP20:AQ20" si="58">AO20</f>
        <v>606.63699999999994</v>
      </c>
      <c r="AQ20" s="34">
        <f t="shared" si="58"/>
        <v>606.63699999999994</v>
      </c>
    </row>
    <row r="21" spans="2:82" ht="15" x14ac:dyDescent="0.25">
      <c r="B21" s="1"/>
      <c r="C21" s="7"/>
      <c r="D21" s="7"/>
      <c r="E21" s="7"/>
      <c r="O21" s="55"/>
      <c r="S21" s="71"/>
      <c r="T21" s="163"/>
      <c r="U21" s="71"/>
      <c r="V21" s="244"/>
      <c r="W21" s="284"/>
      <c r="AS21" s="128" t="s">
        <v>118</v>
      </c>
      <c r="AT21" s="122">
        <v>-0.01</v>
      </c>
    </row>
    <row r="22" spans="2:82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221">
        <f t="shared" ref="N22:P22" si="61">N5/N3</f>
        <v>0.75400515367769483</v>
      </c>
      <c r="O22" s="221">
        <f t="shared" si="61"/>
        <v>0.76830336433994972</v>
      </c>
      <c r="P22" s="221">
        <f t="shared" ref="P22" si="62">P5/P3</f>
        <v>0.76199016989685153</v>
      </c>
      <c r="S22" s="74">
        <f>S5/S3</f>
        <v>0.73</v>
      </c>
      <c r="T22" s="164">
        <f>T5/T3</f>
        <v>0.74</v>
      </c>
      <c r="U22" s="74">
        <f t="shared" ref="U22" si="63">U5/U3</f>
        <v>0.74</v>
      </c>
      <c r="V22" s="245">
        <v>0.76</v>
      </c>
      <c r="W22" s="247">
        <v>0.75</v>
      </c>
      <c r="Z22" s="10">
        <f>Z5/Z3</f>
        <v>0.74033781260654741</v>
      </c>
      <c r="AA22" s="10">
        <f>AA5/AA3</f>
        <v>0.74110310596030293</v>
      </c>
      <c r="AB22" s="221">
        <f t="shared" ref="AB22:AO22" si="64">AB5/AB3</f>
        <v>0.75386732534790202</v>
      </c>
      <c r="AC22" s="112">
        <f t="shared" si="64"/>
        <v>0.77</v>
      </c>
      <c r="AD22" s="10">
        <f t="shared" si="64"/>
        <v>0.77</v>
      </c>
      <c r="AE22" s="10">
        <f t="shared" si="64"/>
        <v>0.77</v>
      </c>
      <c r="AF22" s="10">
        <f t="shared" si="64"/>
        <v>0.77</v>
      </c>
      <c r="AG22" s="10">
        <f t="shared" si="64"/>
        <v>0.77</v>
      </c>
      <c r="AH22" s="10">
        <f t="shared" si="64"/>
        <v>0.77</v>
      </c>
      <c r="AI22" s="10">
        <f t="shared" si="64"/>
        <v>0.77</v>
      </c>
      <c r="AJ22" s="10">
        <f t="shared" si="64"/>
        <v>0.77</v>
      </c>
      <c r="AK22" s="10">
        <f t="shared" si="64"/>
        <v>0.77</v>
      </c>
      <c r="AL22" s="10">
        <f t="shared" si="64"/>
        <v>0.77</v>
      </c>
      <c r="AM22" s="10">
        <f t="shared" si="64"/>
        <v>0.77</v>
      </c>
      <c r="AN22" s="10">
        <f t="shared" si="64"/>
        <v>0.77</v>
      </c>
      <c r="AO22" s="10">
        <f t="shared" si="64"/>
        <v>0.77</v>
      </c>
      <c r="AP22" s="10">
        <f t="shared" ref="AP22:AQ22" si="65">AP5/AP3</f>
        <v>0.77</v>
      </c>
      <c r="AQ22" s="10">
        <f t="shared" si="65"/>
        <v>0.77</v>
      </c>
      <c r="AS22" s="129" t="s">
        <v>114</v>
      </c>
      <c r="AT22" s="123">
        <v>0.09</v>
      </c>
      <c r="AV22" s="62"/>
    </row>
    <row r="23" spans="2:82" ht="15" x14ac:dyDescent="0.25">
      <c r="B23" s="6" t="s">
        <v>24</v>
      </c>
      <c r="C23" s="10">
        <f t="shared" ref="C23:J23" si="66">C12/C3</f>
        <v>-0.45160611499659598</v>
      </c>
      <c r="D23" s="10">
        <f t="shared" si="66"/>
        <v>-0.36451554952293502</v>
      </c>
      <c r="E23" s="10">
        <f t="shared" si="66"/>
        <v>-0.20450629976896878</v>
      </c>
      <c r="F23" s="10">
        <f t="shared" si="66"/>
        <v>-0.22130647819901991</v>
      </c>
      <c r="G23" s="10">
        <f t="shared" si="66"/>
        <v>-0.3490035557760689</v>
      </c>
      <c r="H23" s="10">
        <f t="shared" si="66"/>
        <v>-0.31478969390002193</v>
      </c>
      <c r="I23" s="10">
        <f t="shared" si="66"/>
        <v>-0.15205286883314742</v>
      </c>
      <c r="J23" s="10">
        <f t="shared" si="66"/>
        <v>-0.24553025920892319</v>
      </c>
      <c r="K23" s="10">
        <f t="shared" ref="K23:L23" si="67">K12/K3</f>
        <v>-0.28225917555023522</v>
      </c>
      <c r="L23" s="10">
        <f t="shared" si="67"/>
        <v>-0.2879989580637578</v>
      </c>
      <c r="M23" s="10">
        <f t="shared" ref="M23:N23" si="68">M12/M3</f>
        <v>-0.5794918747476856</v>
      </c>
      <c r="N23" s="221">
        <f t="shared" si="68"/>
        <v>-0.52141090562414072</v>
      </c>
      <c r="O23" s="221">
        <f t="shared" ref="O23:P23" si="69">O12/O3</f>
        <v>-0.44228222124563565</v>
      </c>
      <c r="P23" s="221">
        <f t="shared" si="69"/>
        <v>-0.46122896854425754</v>
      </c>
      <c r="S23" s="74">
        <f>S12/S3</f>
        <v>-0.17383762059111754</v>
      </c>
      <c r="T23" s="164">
        <f>T12/T3</f>
        <v>-0.31959466683854248</v>
      </c>
      <c r="U23" s="74">
        <f t="shared" ref="U23" si="70">U12/U3</f>
        <v>-0.20020035171753023</v>
      </c>
      <c r="V23" s="245">
        <v>-0.45970540286300937</v>
      </c>
      <c r="W23" s="247"/>
      <c r="Z23" s="10">
        <f>Z12/Z3</f>
        <v>-0.28806290826239189</v>
      </c>
      <c r="AA23" s="10">
        <f>AA12/AA3</f>
        <v>-0.25797358352338834</v>
      </c>
      <c r="AB23" s="221">
        <f t="shared" ref="AB23:AO23" si="71">AB12/AB3</f>
        <v>-0.41517411727905695</v>
      </c>
      <c r="AC23" s="112">
        <f t="shared" si="71"/>
        <v>-0.24375426800742717</v>
      </c>
      <c r="AD23" s="10">
        <f t="shared" si="71"/>
        <v>-0.12491848433883233</v>
      </c>
      <c r="AE23" s="10">
        <f t="shared" si="71"/>
        <v>-2.0483889093983305E-2</v>
      </c>
      <c r="AF23" s="10">
        <f t="shared" si="71"/>
        <v>7.1349202503410591E-2</v>
      </c>
      <c r="AG23" s="10">
        <f t="shared" si="71"/>
        <v>9.3306058120299754E-2</v>
      </c>
      <c r="AH23" s="10">
        <f t="shared" si="71"/>
        <v>0.17121459173346767</v>
      </c>
      <c r="AI23" s="10">
        <f t="shared" si="71"/>
        <v>0.23984318320941969</v>
      </c>
      <c r="AJ23" s="10">
        <f t="shared" si="71"/>
        <v>0.30033240043249043</v>
      </c>
      <c r="AK23" s="10">
        <f t="shared" si="71"/>
        <v>0.35367850094044018</v>
      </c>
      <c r="AL23" s="10">
        <f t="shared" si="71"/>
        <v>0.40075219815827223</v>
      </c>
      <c r="AM23" s="10">
        <f t="shared" si="71"/>
        <v>0.44231492138750028</v>
      </c>
      <c r="AN23" s="10">
        <f t="shared" si="71"/>
        <v>0.47903291325532138</v>
      </c>
      <c r="AO23" s="10">
        <f t="shared" si="71"/>
        <v>0.51148945991718464</v>
      </c>
      <c r="AP23" s="10">
        <f t="shared" ref="AP23:AQ23" si="72">AP12/AP3</f>
        <v>0.54019550789904636</v>
      </c>
      <c r="AQ23" s="10">
        <f t="shared" si="72"/>
        <v>0.56559888602182173</v>
      </c>
      <c r="AS23" s="129" t="s">
        <v>115</v>
      </c>
      <c r="AT23" s="124">
        <f>NPV(AT22,AB18:CD18)</f>
        <v>35874.285811981928</v>
      </c>
      <c r="AV23" s="63"/>
    </row>
    <row r="24" spans="2:82" ht="15" x14ac:dyDescent="0.25">
      <c r="B24" s="6" t="s">
        <v>29</v>
      </c>
      <c r="C24" s="10">
        <f t="shared" ref="C24:J24" si="73">C18/C3</f>
        <v>-0.4634338057807762</v>
      </c>
      <c r="D24" s="10">
        <f t="shared" si="73"/>
        <v>-0.36060820791249149</v>
      </c>
      <c r="E24" s="10">
        <f t="shared" si="73"/>
        <v>-0.1985360083202998</v>
      </c>
      <c r="F24" s="10">
        <f t="shared" si="73"/>
        <v>-0.19527497588779671</v>
      </c>
      <c r="G24" s="10">
        <f t="shared" si="73"/>
        <v>-0.35170914992144231</v>
      </c>
      <c r="H24" s="10">
        <f t="shared" si="73"/>
        <v>-0.3147764809513322</v>
      </c>
      <c r="I24" s="10">
        <f t="shared" si="73"/>
        <v>-0.15155025366359329</v>
      </c>
      <c r="J24" s="10">
        <f t="shared" si="73"/>
        <v>-0.2589047574674429</v>
      </c>
      <c r="K24" s="10">
        <f t="shared" ref="K24:L24" si="74">K18/K3</f>
        <v>-0.30161188828113661</v>
      </c>
      <c r="L24" s="10">
        <f t="shared" si="74"/>
        <v>-0.30326095597650232</v>
      </c>
      <c r="M24" s="10">
        <f t="shared" ref="M24:N24" si="75">M18/M3</f>
        <v>-0.5831522463478378</v>
      </c>
      <c r="N24" s="221">
        <f t="shared" si="75"/>
        <v>-0.50342484680589428</v>
      </c>
      <c r="O24" s="221">
        <f t="shared" ref="O24:P24" si="76">O18/O3</f>
        <v>-0.41191801557655194</v>
      </c>
      <c r="P24" s="221">
        <f t="shared" si="76"/>
        <v>-0.41841249416098936</v>
      </c>
      <c r="S24" s="74">
        <f>S18/S3</f>
        <v>-0.17647480466999524</v>
      </c>
      <c r="T24" s="164">
        <f>T18/T3</f>
        <v>-0.32004473066532035</v>
      </c>
      <c r="U24" s="74">
        <f t="shared" ref="U24" si="77">U18/U3</f>
        <v>-0.20180364211915114</v>
      </c>
      <c r="V24" s="245">
        <v>-0.47146359813562494</v>
      </c>
      <c r="W24" s="247"/>
      <c r="Z24" s="10">
        <f>Z18/Z3</f>
        <v>-0.28230353344842696</v>
      </c>
      <c r="AA24" s="10">
        <f>AA18/AA3</f>
        <v>-0.26234628208595223</v>
      </c>
      <c r="AB24" s="221">
        <f t="shared" ref="AB24:AO24" si="78">AB18/AB3</f>
        <v>-0.42007242976793363</v>
      </c>
      <c r="AC24" s="112">
        <f t="shared" si="78"/>
        <v>-0.24788264785161049</v>
      </c>
      <c r="AD24" s="10">
        <f t="shared" si="78"/>
        <v>-0.12845735574867467</v>
      </c>
      <c r="AE24" s="10">
        <f t="shared" si="78"/>
        <v>-2.3516444841938818E-2</v>
      </c>
      <c r="AF24" s="10">
        <f t="shared" si="78"/>
        <v>6.8751398834557831E-2</v>
      </c>
      <c r="AG24" s="10">
        <f t="shared" si="78"/>
        <v>9.0869592664253679E-2</v>
      </c>
      <c r="AH24" s="10">
        <f t="shared" si="78"/>
        <v>0.16912891250421389</v>
      </c>
      <c r="AI24" s="10">
        <f t="shared" si="78"/>
        <v>0.23805846238030931</v>
      </c>
      <c r="AJ24" s="10">
        <f t="shared" si="78"/>
        <v>0.29880581239809056</v>
      </c>
      <c r="AK24" s="10">
        <f t="shared" si="78"/>
        <v>0.3523732468812395</v>
      </c>
      <c r="AL24" s="10">
        <f t="shared" si="78"/>
        <v>0.39963666550433563</v>
      </c>
      <c r="AM24" s="10">
        <f t="shared" si="78"/>
        <v>0.44136195963869429</v>
      </c>
      <c r="AN24" s="10">
        <f t="shared" si="78"/>
        <v>0.47821921015121932</v>
      </c>
      <c r="AO24" s="10">
        <f t="shared" si="78"/>
        <v>0.51079500414009893</v>
      </c>
      <c r="AP24" s="10">
        <f t="shared" ref="AP24:AQ24" si="79">AP18/AP3</f>
        <v>0.53960312638561603</v>
      </c>
      <c r="AQ24" s="10">
        <f t="shared" si="79"/>
        <v>0.56509384559270204</v>
      </c>
      <c r="AS24" s="129" t="s">
        <v>7</v>
      </c>
      <c r="AT24" s="124">
        <f>Main!C11</f>
        <v>2020.4279999999999</v>
      </c>
    </row>
    <row r="25" spans="2:82" ht="15" x14ac:dyDescent="0.25">
      <c r="B25" s="6" t="s">
        <v>30</v>
      </c>
      <c r="C25" s="10">
        <f t="shared" ref="C25:J25" si="80">C17/C16</f>
        <v>-1.3355414284951119E-5</v>
      </c>
      <c r="D25" s="10">
        <f t="shared" si="80"/>
        <v>-6.9196490354009248E-5</v>
      </c>
      <c r="E25" s="10">
        <f t="shared" si="80"/>
        <v>-3.8003800380038001E-4</v>
      </c>
      <c r="F25" s="10">
        <f t="shared" si="80"/>
        <v>9.9393019726858919E-2</v>
      </c>
      <c r="G25" s="10">
        <f t="shared" si="80"/>
        <v>-1.4694969177302145E-5</v>
      </c>
      <c r="H25" s="10">
        <f t="shared" si="80"/>
        <v>-1.3993842709207952E-4</v>
      </c>
      <c r="I25" s="10">
        <f t="shared" si="80"/>
        <v>1.2764107024095776E-2</v>
      </c>
      <c r="J25" s="10">
        <f t="shared" si="80"/>
        <v>-4.4747307317139712E-3</v>
      </c>
      <c r="K25" s="10">
        <f t="shared" ref="K25:L25" si="81">K17/K16</f>
        <v>-1.7065479502875161E-3</v>
      </c>
      <c r="L25" s="10">
        <f t="shared" si="81"/>
        <v>-1.5529685160771344E-3</v>
      </c>
      <c r="M25" s="10">
        <f t="shared" ref="M25:N25" si="82">M17/M16</f>
        <v>-1.1673022715967497E-3</v>
      </c>
      <c r="N25" s="221">
        <f t="shared" si="82"/>
        <v>-1.1107141246622243E-2</v>
      </c>
      <c r="O25" s="221">
        <f t="shared" ref="O25:P25" si="83">O17/O16</f>
        <v>-2.7152817244081922E-3</v>
      </c>
      <c r="P25" s="221">
        <f t="shared" si="83"/>
        <v>4.3205151060728393E-3</v>
      </c>
      <c r="S25" s="74">
        <f>S17/S16</f>
        <v>-5.8143950486894873E-3</v>
      </c>
      <c r="T25" s="164">
        <f>T17/T16</f>
        <v>-1.554111834331342E-3</v>
      </c>
      <c r="U25" s="74">
        <f t="shared" ref="U25" si="84">U17/U16</f>
        <v>-2.1744084525061108E-3</v>
      </c>
      <c r="V25" s="245">
        <v>-1.209261242904384E-3</v>
      </c>
      <c r="W25" s="247"/>
      <c r="Z25" s="10">
        <f>Z17/Z16</f>
        <v>2.4884847759765513E-2</v>
      </c>
      <c r="AA25" s="10">
        <f>AA17/AA16</f>
        <v>6.3516008018896014E-4</v>
      </c>
      <c r="AB25" s="221">
        <f t="shared" ref="AB25:AO25" si="85">AB17/AB16</f>
        <v>-4.4144749214195516E-3</v>
      </c>
      <c r="AC25" s="112">
        <f t="shared" si="85"/>
        <v>-6.4066615885795038E-3</v>
      </c>
      <c r="AD25" s="10">
        <f t="shared" si="85"/>
        <v>-1.0797211912840315E-2</v>
      </c>
      <c r="AE25" s="10">
        <f t="shared" si="85"/>
        <v>-5.345042507670774E-2</v>
      </c>
      <c r="AF25" s="10">
        <f t="shared" si="85"/>
        <v>1.4867029479176111E-2</v>
      </c>
      <c r="AG25" s="10">
        <f t="shared" si="85"/>
        <v>1.0757363230184256E-2</v>
      </c>
      <c r="AH25" s="10">
        <f t="shared" si="85"/>
        <v>5.0548124564214168E-3</v>
      </c>
      <c r="AI25" s="10">
        <f t="shared" si="85"/>
        <v>3.1288253480336562E-3</v>
      </c>
      <c r="AJ25" s="10">
        <f t="shared" si="85"/>
        <v>2.1696801812966272E-3</v>
      </c>
      <c r="AK25" s="10">
        <f t="shared" si="85"/>
        <v>1.6007795652321745E-3</v>
      </c>
      <c r="AL25" s="10">
        <f t="shared" si="85"/>
        <v>1.2278165924379323E-3</v>
      </c>
      <c r="AM25" s="10">
        <f t="shared" si="85"/>
        <v>9.6698444386096106E-4</v>
      </c>
      <c r="AN25" s="10">
        <f t="shared" si="85"/>
        <v>7.7619789101696622E-4</v>
      </c>
      <c r="AO25" s="10">
        <f t="shared" si="85"/>
        <v>6.3200085089371808E-4</v>
      </c>
      <c r="AP25" s="10">
        <f t="shared" ref="AP25:AQ25" si="86">AP17/AP16</f>
        <v>5.2028409801096987E-4</v>
      </c>
      <c r="AQ25" s="10">
        <f t="shared" si="86"/>
        <v>4.3205091496696809E-4</v>
      </c>
      <c r="AS25" s="129" t="s">
        <v>116</v>
      </c>
      <c r="AT25" s="124">
        <f>AT23+AT24</f>
        <v>37894.713811981928</v>
      </c>
    </row>
    <row r="26" spans="2:82" x14ac:dyDescent="0.25">
      <c r="B26" s="1"/>
      <c r="O26" s="55"/>
      <c r="S26" s="71"/>
      <c r="T26" s="163"/>
      <c r="U26" s="71"/>
      <c r="V26" s="244"/>
      <c r="W26" s="284"/>
      <c r="Z26" s="7"/>
      <c r="AA26" s="7"/>
      <c r="AS26" s="38" t="s">
        <v>117</v>
      </c>
      <c r="AT26" s="125">
        <f>AT25/Main!C7</f>
        <v>61.849835417286634</v>
      </c>
      <c r="AU26" s="62"/>
      <c r="AW26" s="9"/>
    </row>
    <row r="27" spans="2:82" ht="15" x14ac:dyDescent="0.25">
      <c r="B27" s="15" t="s">
        <v>56</v>
      </c>
      <c r="C27" s="16" t="s">
        <v>33</v>
      </c>
      <c r="D27" s="10">
        <f t="shared" ref="D27:L27" si="87">D3/C3-1</f>
        <v>0.24027975490499487</v>
      </c>
      <c r="E27" s="10">
        <f t="shared" si="87"/>
        <v>0.25710607209868663</v>
      </c>
      <c r="F27" s="10">
        <f t="shared" si="87"/>
        <v>0.23061441603086785</v>
      </c>
      <c r="G27" s="10">
        <f t="shared" si="87"/>
        <v>0.24827343722279016</v>
      </c>
      <c r="H27" s="10">
        <f t="shared" si="87"/>
        <v>0.17345778549574131</v>
      </c>
      <c r="I27" s="10">
        <f t="shared" si="87"/>
        <v>0.12163840563752482</v>
      </c>
      <c r="J27" s="10">
        <f t="shared" si="87"/>
        <v>0.11668721629729695</v>
      </c>
      <c r="K27" s="10">
        <f t="shared" si="87"/>
        <v>-5.5620119943245783E-2</v>
      </c>
      <c r="L27" s="10">
        <f t="shared" si="87"/>
        <v>0.10066947912438984</v>
      </c>
      <c r="M27" s="10">
        <f t="shared" ref="M27" si="88">M3/L3-1</f>
        <v>-0.12432193800141067</v>
      </c>
      <c r="N27" s="10">
        <f t="shared" ref="N27:P27" si="89">N3/M3-1</f>
        <v>0.11840094879922436</v>
      </c>
      <c r="O27" s="10">
        <f t="shared" si="89"/>
        <v>0.1318471029561108</v>
      </c>
      <c r="P27" s="10">
        <f t="shared" si="89"/>
        <v>3.8791840621108742E-2</v>
      </c>
      <c r="S27" s="74">
        <f>S3/J3-1</f>
        <v>0.13622563817648281</v>
      </c>
      <c r="T27" s="164">
        <f>T3/K3-1</f>
        <v>3.9857838081372554E-2</v>
      </c>
      <c r="U27" s="74">
        <f>U3/L3-1</f>
        <v>7.6898615882423638E-2</v>
      </c>
      <c r="V27" s="245">
        <v>-2.4222281558735514E-2</v>
      </c>
      <c r="W27" s="247">
        <v>0.05</v>
      </c>
      <c r="Z27" s="198" t="s">
        <v>33</v>
      </c>
      <c r="AA27" s="198" t="s">
        <v>33</v>
      </c>
      <c r="AS27" s="130" t="s">
        <v>121</v>
      </c>
      <c r="AT27" s="126">
        <f>Main!C6</f>
        <v>30.01</v>
      </c>
    </row>
    <row r="28" spans="2:82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90">G3/C3-1</f>
        <v>1.3950980998947826</v>
      </c>
      <c r="H28" s="13">
        <f t="shared" si="90"/>
        <v>1.2660585252904308</v>
      </c>
      <c r="I28" s="13">
        <f t="shared" si="90"/>
        <v>1.0218646045872801</v>
      </c>
      <c r="J28" s="13">
        <f t="shared" si="90"/>
        <v>0.83468544461612404</v>
      </c>
      <c r="K28" s="13">
        <f t="shared" si="90"/>
        <v>0.38802923178698423</v>
      </c>
      <c r="L28" s="13">
        <f t="shared" si="90"/>
        <v>0.3019312926668134</v>
      </c>
      <c r="M28" s="13">
        <f t="shared" ref="M28" si="91">M3/I3-1</f>
        <v>1.6435123376317362E-2</v>
      </c>
      <c r="N28" s="13">
        <f t="shared" ref="N28:O28" si="92">N3/J3-1</f>
        <v>1.7995003243847618E-2</v>
      </c>
      <c r="O28" s="272">
        <f t="shared" si="92"/>
        <v>0.22007543741412761</v>
      </c>
      <c r="P28" s="272">
        <f t="shared" ref="P28" si="93">P3/L3-1</f>
        <v>0.15148501286351479</v>
      </c>
      <c r="S28" s="75">
        <f>S3/G3-1</f>
        <v>0.66999999999999993</v>
      </c>
      <c r="T28" s="165">
        <f>T3/H3-1</f>
        <v>0.22999999999999998</v>
      </c>
      <c r="U28" s="75">
        <f>U3/I3-1</f>
        <v>0.25000000000000022</v>
      </c>
      <c r="V28" s="246">
        <v>9.2268390154878199E-2</v>
      </c>
      <c r="W28" s="248">
        <v>0.13184829111543861</v>
      </c>
      <c r="Z28" s="13"/>
      <c r="AA28" s="13">
        <f>AA3/Z3-1</f>
        <v>1.0772942519902369</v>
      </c>
      <c r="AB28" s="222">
        <f t="shared" ref="AB28:AO28" si="94">AB3/AA3-1</f>
        <v>0.15937579623808262</v>
      </c>
      <c r="AC28" s="113">
        <f t="shared" si="94"/>
        <v>0.16999999999999993</v>
      </c>
      <c r="AD28" s="13">
        <f t="shared" si="94"/>
        <v>0.14999999999999991</v>
      </c>
      <c r="AE28" s="13">
        <f t="shared" si="94"/>
        <v>0.14999999999999991</v>
      </c>
      <c r="AF28" s="13">
        <f t="shared" si="94"/>
        <v>0.14999999999999991</v>
      </c>
      <c r="AG28" s="13">
        <f t="shared" si="94"/>
        <v>5.0000000000000044E-2</v>
      </c>
      <c r="AH28" s="13">
        <f t="shared" si="94"/>
        <v>0.14999999999999991</v>
      </c>
      <c r="AI28" s="13">
        <f t="shared" si="94"/>
        <v>0.14999999999999991</v>
      </c>
      <c r="AJ28" s="13">
        <f t="shared" si="94"/>
        <v>0.14999999999999991</v>
      </c>
      <c r="AK28" s="13">
        <f t="shared" si="94"/>
        <v>0.14999999999999991</v>
      </c>
      <c r="AL28" s="13">
        <f t="shared" si="94"/>
        <v>0.14999999999999991</v>
      </c>
      <c r="AM28" s="13">
        <f t="shared" si="94"/>
        <v>0.14999999999999991</v>
      </c>
      <c r="AN28" s="13">
        <f t="shared" si="94"/>
        <v>0.14999999999999991</v>
      </c>
      <c r="AO28" s="13">
        <f t="shared" si="94"/>
        <v>0.14999999999999991</v>
      </c>
      <c r="AP28" s="13">
        <f t="shared" ref="AP28:AQ28" si="95">AP3/AO3-1</f>
        <v>0.14999999999999991</v>
      </c>
      <c r="AQ28" s="13">
        <f t="shared" si="95"/>
        <v>0.14999999999999991</v>
      </c>
      <c r="AS28" s="131" t="s">
        <v>120</v>
      </c>
      <c r="AT28" s="127">
        <f>AT26/AT27-1</f>
        <v>1.0609741891798277</v>
      </c>
    </row>
    <row r="29" spans="2:82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72"/>
      <c r="S29" s="75"/>
      <c r="T29" s="165"/>
      <c r="U29" s="193"/>
      <c r="V29" s="246"/>
      <c r="W29" s="248"/>
      <c r="Z29" s="13"/>
      <c r="AA29" s="13"/>
      <c r="AB29" s="222"/>
      <c r="AC29" s="1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</row>
    <row r="30" spans="2:82" s="185" customFormat="1" ht="15" x14ac:dyDescent="0.25">
      <c r="B30" s="185" t="s">
        <v>216</v>
      </c>
      <c r="C30" s="2" t="s">
        <v>33</v>
      </c>
      <c r="D30" s="186">
        <f t="shared" ref="D30:K30" si="96">D8/C8-1</f>
        <v>-0.18539132546702008</v>
      </c>
      <c r="E30" s="186">
        <f t="shared" si="96"/>
        <v>0.28470272553355347</v>
      </c>
      <c r="F30" s="186">
        <f t="shared" si="96"/>
        <v>0.16165777055774733</v>
      </c>
      <c r="G30" s="186">
        <f t="shared" si="96"/>
        <v>0.60893668736577489</v>
      </c>
      <c r="H30" s="186">
        <f t="shared" si="96"/>
        <v>0.29079922188651119</v>
      </c>
      <c r="I30" s="186">
        <f t="shared" si="96"/>
        <v>0.10819411934459877</v>
      </c>
      <c r="J30" s="186">
        <f t="shared" si="96"/>
        <v>0.25552461210170341</v>
      </c>
      <c r="K30" s="186">
        <f t="shared" si="96"/>
        <v>2.4151639108140888E-2</v>
      </c>
      <c r="L30" s="186">
        <f>L8/K8-1</f>
        <v>0.19123884744771091</v>
      </c>
      <c r="M30" s="186">
        <f t="shared" ref="M30" si="97">M8/L8-1</f>
        <v>0.11236464438011495</v>
      </c>
      <c r="N30" s="186">
        <f t="shared" ref="N30" si="98">N8/M8-1</f>
        <v>5.4578414016497545E-2</v>
      </c>
      <c r="O30" s="271">
        <v>0.03</v>
      </c>
      <c r="P30" s="271">
        <v>0.03</v>
      </c>
      <c r="S30" s="188"/>
      <c r="T30" s="189"/>
      <c r="U30" s="194">
        <f>U8/L8-1</f>
        <v>-0.14026981054699483</v>
      </c>
      <c r="V30" s="247">
        <v>8.0000000000000071E-2</v>
      </c>
      <c r="W30" s="247">
        <v>0.03</v>
      </c>
      <c r="Z30" s="186"/>
      <c r="AA30" s="186"/>
      <c r="AB30" s="223"/>
      <c r="AC30" s="187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</row>
    <row r="31" spans="2:82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9">G8/C8-1</f>
        <v>0.95599991904308945</v>
      </c>
      <c r="H31" s="13">
        <f t="shared" si="99"/>
        <v>2.0994061964272404</v>
      </c>
      <c r="I31" s="13">
        <f t="shared" si="99"/>
        <v>1.6735708207627447</v>
      </c>
      <c r="J31" s="13">
        <f t="shared" si="99"/>
        <v>1.8896066059566814</v>
      </c>
      <c r="K31" s="13">
        <f t="shared" si="99"/>
        <v>0.83934853689830713</v>
      </c>
      <c r="L31" s="13">
        <f>L8/H8-1</f>
        <v>0.69747811588161723</v>
      </c>
      <c r="M31" s="13">
        <f t="shared" ref="M31" si="100">M8/I8-1</f>
        <v>0.70386632427935902</v>
      </c>
      <c r="N31" s="13">
        <f t="shared" ref="N31:O31" si="101">N8/J8-1</f>
        <v>0.43116321945036606</v>
      </c>
      <c r="O31" s="13">
        <f t="shared" si="101"/>
        <v>0.55003319044565191</v>
      </c>
      <c r="P31" s="13">
        <f t="shared" ref="P31" si="102">P8/L8-1</f>
        <v>0.48906057414867043</v>
      </c>
      <c r="S31" s="75"/>
      <c r="T31" s="165"/>
      <c r="U31" s="193">
        <f>U8/I8-1</f>
        <v>0.31689309362363915</v>
      </c>
      <c r="V31" s="248">
        <v>0.46566272973440115</v>
      </c>
      <c r="Z31" s="13"/>
      <c r="AA31" s="13">
        <f>AA8/Z8-1</f>
        <v>1.6470687523891319</v>
      </c>
      <c r="AB31" s="222"/>
      <c r="AC31" s="1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</row>
    <row r="32" spans="2:82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2"/>
      <c r="O32" s="272"/>
      <c r="S32" s="13"/>
      <c r="T32" s="165"/>
      <c r="U32" s="75"/>
      <c r="V32" s="246"/>
      <c r="Z32" s="13"/>
      <c r="AA32" s="13"/>
      <c r="AB32" s="222"/>
      <c r="AC32" s="1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S32" s="49"/>
      <c r="AT32" s="78"/>
    </row>
    <row r="33" spans="2:46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2"/>
      <c r="O33" s="272"/>
      <c r="S33" s="13"/>
      <c r="T33" s="165"/>
      <c r="U33" s="75"/>
      <c r="V33" s="246"/>
      <c r="Z33" s="13"/>
      <c r="AA33" s="13"/>
      <c r="AB33" s="222"/>
      <c r="AC33" s="1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S33" s="78"/>
    </row>
    <row r="34" spans="2:46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24">
        <v>899.4</v>
      </c>
      <c r="O34" s="224">
        <v>773.8</v>
      </c>
      <c r="P34" s="1">
        <v>780.7</v>
      </c>
      <c r="S34" s="13"/>
      <c r="T34" s="166">
        <f>K34*(1+T35)</f>
        <v>634.36203</v>
      </c>
      <c r="U34" s="195">
        <f>T34*(1+U35)</f>
        <v>637.53384014999995</v>
      </c>
      <c r="V34" s="249">
        <v>757.83600000000013</v>
      </c>
      <c r="Z34" s="3">
        <f>SUM(C34:F34)</f>
        <v>1882.5429999999999</v>
      </c>
      <c r="AA34" s="3">
        <f>SUM(D34:G34)</f>
        <v>2285.2439999999997</v>
      </c>
      <c r="AB34" s="3">
        <f>SUM(K34:N34)</f>
        <v>2872.2080000000001</v>
      </c>
      <c r="AC34" s="1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S34" s="78"/>
    </row>
    <row r="35" spans="2:46" s="1" customFormat="1" ht="15" x14ac:dyDescent="0.25">
      <c r="B35" s="79" t="s">
        <v>128</v>
      </c>
      <c r="C35" s="2" t="s">
        <v>33</v>
      </c>
      <c r="D35" s="118">
        <f t="shared" ref="D35:L35" si="103">D34/C34-1</f>
        <v>0.98004215148892526</v>
      </c>
      <c r="E35" s="118">
        <f t="shared" si="103"/>
        <v>4.6825896299054204E-3</v>
      </c>
      <c r="F35" s="118">
        <f t="shared" si="103"/>
        <v>0.29371682931004939</v>
      </c>
      <c r="G35" s="118">
        <f t="shared" si="103"/>
        <v>1.5515848241739683E-2</v>
      </c>
      <c r="H35" s="118">
        <f t="shared" si="103"/>
        <v>2.0241400509292795E-2</v>
      </c>
      <c r="I35" s="118">
        <f t="shared" si="103"/>
        <v>-4.1544449119432669E-2</v>
      </c>
      <c r="J35" s="118">
        <f t="shared" si="103"/>
        <v>0.20739441201693865</v>
      </c>
      <c r="K35" s="118">
        <f t="shared" si="103"/>
        <v>-0.18037542396210438</v>
      </c>
      <c r="L35" s="118">
        <f t="shared" si="103"/>
        <v>1.3776801868169875E-2</v>
      </c>
      <c r="M35" s="118">
        <f t="shared" ref="M35" si="104">M34/L34-1</f>
        <v>9.6574162918696915E-2</v>
      </c>
      <c r="N35" s="266">
        <f>N34/M34-1</f>
        <v>0.28174433518597675</v>
      </c>
      <c r="O35" s="266">
        <f t="shared" ref="O35" si="105">O34/N34-1</f>
        <v>-0.13964865465866139</v>
      </c>
      <c r="P35" s="266">
        <f t="shared" ref="P35" si="106">P34/O34-1</f>
        <v>8.9170328250194331E-3</v>
      </c>
      <c r="S35" s="13"/>
      <c r="T35" s="165">
        <v>5.0000000000000001E-3</v>
      </c>
      <c r="U35" s="75">
        <v>5.0000000000000001E-3</v>
      </c>
      <c r="V35" s="246">
        <v>8.0000000000000071E-2</v>
      </c>
      <c r="Z35" s="192" t="s">
        <v>33</v>
      </c>
      <c r="AA35" s="192" t="s">
        <v>33</v>
      </c>
      <c r="AB35" s="192" t="s">
        <v>33</v>
      </c>
      <c r="AC35" s="1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S35" s="49"/>
      <c r="AT35" s="78"/>
    </row>
    <row r="36" spans="2:46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07">K34/G34-1</f>
        <v>-3.2303760518920699E-2</v>
      </c>
      <c r="L36" s="80">
        <f t="shared" si="107"/>
        <v>-3.8435415038769016E-2</v>
      </c>
      <c r="M36" s="80">
        <f t="shared" ref="M36" si="108">M34/I34-1</f>
        <v>0.10013122557158383</v>
      </c>
      <c r="N36" s="80">
        <f>N34/J34-1</f>
        <v>0.16787600828966021</v>
      </c>
      <c r="O36" s="80">
        <f t="shared" ref="O36" si="109">O34/K34-1</f>
        <v>0.22590723155356551</v>
      </c>
      <c r="P36" s="80">
        <f t="shared" ref="P36" si="110">P34/L34-1</f>
        <v>0.22003056718059955</v>
      </c>
      <c r="T36" s="167">
        <f>T34/H34-1</f>
        <v>-4.6760188134880143E-2</v>
      </c>
      <c r="U36" s="196">
        <f>U34/I34-1</f>
        <v>-4.6902535616688557E-4</v>
      </c>
      <c r="V36" s="250">
        <v>-1.5945649746271773E-2</v>
      </c>
      <c r="AA36" s="80">
        <f>AA34/Z34-1</f>
        <v>0.21391330769071404</v>
      </c>
      <c r="AB36" s="80">
        <f>AB34/AA34-1</f>
        <v>0.25684959680454278</v>
      </c>
      <c r="AT36" s="52"/>
    </row>
    <row r="37" spans="2:46" s="260" customFormat="1" ht="15" x14ac:dyDescent="0.25">
      <c r="B37" s="257" t="s">
        <v>317</v>
      </c>
      <c r="C37" s="258"/>
      <c r="D37" s="258"/>
      <c r="E37" s="258"/>
      <c r="F37" s="258"/>
      <c r="G37" s="259"/>
      <c r="H37" s="259"/>
      <c r="I37" s="259"/>
      <c r="J37" s="259"/>
      <c r="K37" s="259"/>
      <c r="L37" s="259"/>
      <c r="M37" s="259"/>
      <c r="N37" s="259">
        <v>2128</v>
      </c>
      <c r="O37" s="273"/>
      <c r="S37" s="259"/>
      <c r="T37" s="261"/>
      <c r="U37" s="262"/>
      <c r="V37" s="263"/>
      <c r="AA37" s="259"/>
      <c r="AB37" s="259">
        <v>2128</v>
      </c>
      <c r="AC37" s="264"/>
    </row>
    <row r="38" spans="2:46" x14ac:dyDescent="0.25">
      <c r="B38" s="1"/>
      <c r="O38" s="57"/>
      <c r="AT38" s="52"/>
    </row>
    <row r="39" spans="2:46" x14ac:dyDescent="0.25">
      <c r="B39" s="12" t="s">
        <v>36</v>
      </c>
      <c r="F39" s="99"/>
      <c r="G39" s="99"/>
      <c r="H39" s="99"/>
      <c r="I39" s="99"/>
      <c r="J39" s="99"/>
      <c r="K39" s="99"/>
      <c r="L39" s="99"/>
      <c r="M39" s="99"/>
      <c r="O39" s="57"/>
    </row>
    <row r="40" spans="2:46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9">
        <v>3132.9639999999999</v>
      </c>
      <c r="L40" s="149">
        <v>3075.4749999999999</v>
      </c>
      <c r="M40" s="149">
        <v>3021.5070000000001</v>
      </c>
      <c r="N40" s="4">
        <v>2977.4740000000002</v>
      </c>
      <c r="O40" s="3">
        <v>828.12900000000002</v>
      </c>
      <c r="P40" s="3">
        <v>520.26400000000001</v>
      </c>
      <c r="S40" s="2"/>
      <c r="T40" s="13"/>
      <c r="U40" s="2"/>
      <c r="AC40" s="228"/>
    </row>
    <row r="41" spans="2:46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S41" s="2"/>
      <c r="T41" s="13"/>
      <c r="U41" s="2"/>
      <c r="AC41" s="228"/>
    </row>
    <row r="42" spans="2:46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7">
        <v>265.24599999999998</v>
      </c>
      <c r="P42" s="9">
        <v>257.35500000000002</v>
      </c>
    </row>
    <row r="43" spans="2:46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7">
        <v>76.307000000000002</v>
      </c>
      <c r="P43" s="9">
        <v>69.106999999999999</v>
      </c>
    </row>
    <row r="44" spans="2:46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7">
        <v>435.52800000000002</v>
      </c>
      <c r="P44" s="9">
        <v>447.96199999999999</v>
      </c>
    </row>
    <row r="45" spans="2:46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S45" s="2"/>
      <c r="T45" s="2"/>
      <c r="U45" s="2"/>
      <c r="AC45" s="228"/>
    </row>
    <row r="46" spans="2:46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7">
        <v>688.34100000000001</v>
      </c>
      <c r="P46" s="9">
        <v>684.73400000000004</v>
      </c>
    </row>
    <row r="47" spans="2:46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7">
        <v>492.68599999999998</v>
      </c>
      <c r="P47" s="9">
        <v>674.928</v>
      </c>
    </row>
    <row r="48" spans="2:46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7">
        <v>229.87700000000001</v>
      </c>
      <c r="P48" s="9">
        <v>235.90299999999999</v>
      </c>
    </row>
    <row r="49" spans="2:29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7">
        <f>50.739+134.335</f>
        <v>185.07400000000001</v>
      </c>
      <c r="P49" s="9">
        <f>59.176+134.335</f>
        <v>193.51100000000002</v>
      </c>
    </row>
    <row r="50" spans="2:29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7">
        <v>6.4809999999999999</v>
      </c>
      <c r="P50" s="9">
        <v>11.013999999999999</v>
      </c>
    </row>
    <row r="51" spans="2:29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P51" si="111">SUM(F40:F50)</f>
        <v>1847.8</v>
      </c>
      <c r="G51" s="5">
        <f t="shared" si="111"/>
        <v>2816.0789999999997</v>
      </c>
      <c r="H51" s="5">
        <f t="shared" si="111"/>
        <v>3073.7910000000002</v>
      </c>
      <c r="I51" s="5">
        <f t="shared" si="111"/>
        <v>3272.2799999999997</v>
      </c>
      <c r="J51" s="5">
        <f t="shared" si="111"/>
        <v>4560.5960000000005</v>
      </c>
      <c r="K51" s="5">
        <f t="shared" si="111"/>
        <v>4715.831000000001</v>
      </c>
      <c r="L51" s="5">
        <f t="shared" si="111"/>
        <v>4919.420000000001</v>
      </c>
      <c r="M51" s="5">
        <f t="shared" si="111"/>
        <v>5038.3230000000012</v>
      </c>
      <c r="N51" s="5">
        <f t="shared" si="111"/>
        <v>5375.4870000000001</v>
      </c>
      <c r="O51" s="5">
        <f t="shared" si="111"/>
        <v>5471.46</v>
      </c>
      <c r="P51" s="5">
        <f t="shared" si="111"/>
        <v>5599.277000000001</v>
      </c>
    </row>
    <row r="52" spans="2:29" x14ac:dyDescent="0.25">
      <c r="C52" s="2"/>
      <c r="F52" s="5"/>
      <c r="K52" s="77"/>
      <c r="L52" s="77"/>
      <c r="M52" s="77"/>
    </row>
    <row r="53" spans="2:29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7">
        <v>120.256</v>
      </c>
      <c r="P53" s="9">
        <v>72.828999999999994</v>
      </c>
    </row>
    <row r="54" spans="2:29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7">
        <v>247.94900000000001</v>
      </c>
      <c r="P54" s="9">
        <v>216.273</v>
      </c>
    </row>
    <row r="55" spans="2:29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7">
        <v>227.839</v>
      </c>
      <c r="P55" s="9">
        <v>220.548</v>
      </c>
    </row>
    <row r="56" spans="2:29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7">
        <v>2037.6959999999999</v>
      </c>
      <c r="P56" s="9">
        <v>2117.0430000000001</v>
      </c>
      <c r="S56" s="51"/>
      <c r="T56" s="51"/>
    </row>
    <row r="57" spans="2:29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7">
        <v>1123.3209999999999</v>
      </c>
      <c r="P57" s="9">
        <v>1149.346</v>
      </c>
    </row>
    <row r="58" spans="2:29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7">
        <v>467.18700000000001</v>
      </c>
      <c r="P58" s="9">
        <v>641.66399999999999</v>
      </c>
    </row>
    <row r="59" spans="2:29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9">
        <v>988.03399999999999</v>
      </c>
      <c r="L59" s="149">
        <v>988.34500000000003</v>
      </c>
      <c r="M59" s="149">
        <v>988.66300000000001</v>
      </c>
      <c r="N59" s="4">
        <v>988.98400000000004</v>
      </c>
      <c r="O59" s="3">
        <v>989.30799999999999</v>
      </c>
      <c r="P59" s="3">
        <v>1004.335</v>
      </c>
      <c r="S59" s="2"/>
      <c r="T59" s="2"/>
      <c r="U59" s="2"/>
      <c r="AC59" s="228"/>
    </row>
    <row r="60" spans="2:29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7">
        <v>12.722</v>
      </c>
      <c r="P60" s="9">
        <v>13.039</v>
      </c>
    </row>
    <row r="61" spans="2:29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P61" si="112">SUM(F53:F60)</f>
        <v>1735.354</v>
      </c>
      <c r="G61" s="5">
        <f t="shared" si="112"/>
        <v>2224.4850000000001</v>
      </c>
      <c r="H61" s="5">
        <f t="shared" si="112"/>
        <v>2531.752</v>
      </c>
      <c r="I61" s="5">
        <f t="shared" si="112"/>
        <v>2666.4490000000001</v>
      </c>
      <c r="J61" s="5">
        <f t="shared" si="112"/>
        <v>3967.6709999999998</v>
      </c>
      <c r="K61" s="5">
        <f t="shared" si="112"/>
        <v>4148.37</v>
      </c>
      <c r="L61" s="5">
        <f t="shared" si="112"/>
        <v>4367.8141299999997</v>
      </c>
      <c r="M61" s="5">
        <f t="shared" si="112"/>
        <v>4613.7309999999998</v>
      </c>
      <c r="N61" s="5">
        <f t="shared" si="112"/>
        <v>5070.4520000000011</v>
      </c>
      <c r="O61" s="5">
        <f t="shared" si="112"/>
        <v>5226.2779999999993</v>
      </c>
      <c r="P61" s="5">
        <f t="shared" si="112"/>
        <v>5435.0770000000002</v>
      </c>
    </row>
    <row r="62" spans="2:29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</row>
    <row r="63" spans="2:29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7">
        <v>245.18199999999999</v>
      </c>
      <c r="P63" s="6">
        <v>164.2</v>
      </c>
    </row>
    <row r="64" spans="2:29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P64" si="113">G63+G61</f>
        <v>2816.0790000000002</v>
      </c>
      <c r="H64" s="5">
        <f t="shared" si="113"/>
        <v>3073.7910000000002</v>
      </c>
      <c r="I64" s="5">
        <f t="shared" si="113"/>
        <v>3272.2890000000002</v>
      </c>
      <c r="J64" s="5">
        <f t="shared" si="113"/>
        <v>4560.5940000000001</v>
      </c>
      <c r="K64" s="5">
        <f t="shared" si="113"/>
        <v>4715.8310000000001</v>
      </c>
      <c r="L64" s="5">
        <f t="shared" si="113"/>
        <v>4919.4071299999996</v>
      </c>
      <c r="M64" s="5">
        <f t="shared" si="113"/>
        <v>5038.3239999999996</v>
      </c>
      <c r="N64" s="5">
        <f t="shared" si="113"/>
        <v>5375.487000000001</v>
      </c>
      <c r="O64" s="5">
        <f t="shared" si="113"/>
        <v>5471.4599999999991</v>
      </c>
      <c r="P64" s="5">
        <f t="shared" si="113"/>
        <v>5599.277</v>
      </c>
    </row>
    <row r="65" spans="2:29" x14ac:dyDescent="0.25">
      <c r="F65" s="5"/>
    </row>
    <row r="66" spans="2:29" x14ac:dyDescent="0.25">
      <c r="B66" s="168" t="s">
        <v>199</v>
      </c>
      <c r="F66" s="5">
        <f t="shared" ref="F66:K66" si="114">F51-F61</f>
        <v>112.44599999999991</v>
      </c>
      <c r="G66" s="5">
        <f t="shared" si="114"/>
        <v>591.5939999999996</v>
      </c>
      <c r="H66" s="5">
        <f t="shared" si="114"/>
        <v>542.03900000000021</v>
      </c>
      <c r="I66" s="5">
        <f t="shared" si="114"/>
        <v>605.83099999999968</v>
      </c>
      <c r="J66" s="5">
        <f t="shared" si="114"/>
        <v>592.92500000000064</v>
      </c>
      <c r="K66" s="5">
        <f t="shared" si="114"/>
        <v>567.46100000000115</v>
      </c>
      <c r="L66" s="5">
        <f>L51-L61</f>
        <v>551.60587000000123</v>
      </c>
      <c r="M66" s="5">
        <f t="shared" ref="M66:N66" si="115">M51-M61</f>
        <v>424.59200000000146</v>
      </c>
      <c r="N66" s="5">
        <f t="shared" si="115"/>
        <v>305.03499999999894</v>
      </c>
      <c r="O66" s="5">
        <f t="shared" ref="O66:P66" si="116">O51-O61</f>
        <v>245.1820000000007</v>
      </c>
      <c r="P66" s="5">
        <f t="shared" si="116"/>
        <v>164.20000000000073</v>
      </c>
    </row>
    <row r="67" spans="2:29" s="180" customFormat="1" ht="15" x14ac:dyDescent="0.25">
      <c r="B67" s="180" t="s">
        <v>200</v>
      </c>
      <c r="C67" s="2" t="s">
        <v>33</v>
      </c>
      <c r="D67" s="2" t="s">
        <v>33</v>
      </c>
      <c r="E67" s="2" t="s">
        <v>33</v>
      </c>
      <c r="F67" s="181">
        <f t="shared" ref="F67:K67" si="117">F66/F20</f>
        <v>0.576205873460791</v>
      </c>
      <c r="G67" s="181">
        <f t="shared" si="117"/>
        <v>2.0324522286428865</v>
      </c>
      <c r="H67" s="181">
        <f t="shared" si="117"/>
        <v>0.94878172588832532</v>
      </c>
      <c r="I67" s="181">
        <f t="shared" si="117"/>
        <v>1.0519141148607816</v>
      </c>
      <c r="J67" s="181">
        <f t="shared" si="117"/>
        <v>1.0195860954198812</v>
      </c>
      <c r="K67" s="181">
        <f t="shared" si="117"/>
        <v>0.96421538058964962</v>
      </c>
      <c r="L67" s="181">
        <f>L66/L20</f>
        <v>0.92874198556054144</v>
      </c>
      <c r="M67" s="181">
        <f t="shared" ref="M67:N67" si="118">M66/M20</f>
        <v>0.71028256261929823</v>
      </c>
      <c r="N67" s="181">
        <f t="shared" si="118"/>
        <v>0.50682136513701537</v>
      </c>
      <c r="O67" s="181">
        <f t="shared" ref="O67:P67" si="119">O66/O20</f>
        <v>0.40416591800368379</v>
      </c>
      <c r="P67" s="181">
        <f t="shared" si="119"/>
        <v>0.26799893583857509</v>
      </c>
      <c r="S67" s="181"/>
      <c r="T67" s="181"/>
      <c r="U67" s="181"/>
      <c r="AC67" s="229"/>
    </row>
    <row r="68" spans="2:29" s="180" customFormat="1" ht="15" x14ac:dyDescent="0.25">
      <c r="C68" s="2"/>
      <c r="D68" s="2"/>
      <c r="E68" s="2"/>
      <c r="F68" s="181"/>
      <c r="G68" s="181"/>
      <c r="H68" s="181"/>
      <c r="I68" s="181"/>
      <c r="J68" s="181"/>
      <c r="K68" s="181"/>
      <c r="L68" s="181"/>
      <c r="M68" s="181"/>
      <c r="N68" s="181"/>
      <c r="O68" s="276"/>
      <c r="S68" s="181"/>
      <c r="T68" s="181"/>
      <c r="U68" s="181"/>
      <c r="AC68" s="229"/>
    </row>
    <row r="69" spans="2:29" s="57" customFormat="1" x14ac:dyDescent="0.25">
      <c r="B69" s="57" t="s">
        <v>3</v>
      </c>
      <c r="C69" s="183"/>
      <c r="D69" s="183"/>
      <c r="E69" s="183"/>
      <c r="F69" s="184">
        <f t="shared" ref="F69:N69" si="120">+F40+F41+F45</f>
        <v>893.94299999999998</v>
      </c>
      <c r="G69" s="184">
        <f t="shared" si="120"/>
        <v>1600.53</v>
      </c>
      <c r="H69" s="184">
        <f t="shared" si="120"/>
        <v>1780.2619999999999</v>
      </c>
      <c r="I69" s="184">
        <f t="shared" si="120"/>
        <v>1925.559</v>
      </c>
      <c r="J69" s="184">
        <f t="shared" si="120"/>
        <v>3004.3</v>
      </c>
      <c r="K69" s="184">
        <f t="shared" si="120"/>
        <v>3132.9639999999999</v>
      </c>
      <c r="L69" s="184">
        <f t="shared" si="120"/>
        <v>3075.4749999999999</v>
      </c>
      <c r="M69" s="184">
        <f t="shared" si="120"/>
        <v>3021.5070000000001</v>
      </c>
      <c r="N69" s="184">
        <f t="shared" si="120"/>
        <v>2977.4740000000002</v>
      </c>
      <c r="O69" s="184">
        <f>+O40+O41+O45</f>
        <v>3091.92</v>
      </c>
      <c r="P69" s="184">
        <f t="shared" ref="P69" si="121">+P40+P41+P45</f>
        <v>3024.7629999999999</v>
      </c>
      <c r="S69" s="55"/>
      <c r="T69" s="55"/>
      <c r="U69" s="55"/>
      <c r="AC69" s="132"/>
    </row>
    <row r="70" spans="2:29" s="57" customFormat="1" x14ac:dyDescent="0.25">
      <c r="B70" s="57" t="s">
        <v>4</v>
      </c>
      <c r="C70" s="183"/>
      <c r="D70" s="183"/>
      <c r="E70" s="183"/>
      <c r="F70" s="184">
        <f t="shared" ref="F70:N70" si="122">+F59</f>
        <v>0</v>
      </c>
      <c r="G70" s="184">
        <f t="shared" si="122"/>
        <v>0</v>
      </c>
      <c r="H70" s="184">
        <f t="shared" si="122"/>
        <v>0</v>
      </c>
      <c r="I70" s="184">
        <f t="shared" si="122"/>
        <v>0</v>
      </c>
      <c r="J70" s="184">
        <f t="shared" si="122"/>
        <v>987.72299999999996</v>
      </c>
      <c r="K70" s="184">
        <f t="shared" si="122"/>
        <v>988.03399999999999</v>
      </c>
      <c r="L70" s="184">
        <f t="shared" si="122"/>
        <v>988.34500000000003</v>
      </c>
      <c r="M70" s="184">
        <f t="shared" si="122"/>
        <v>988.66300000000001</v>
      </c>
      <c r="N70" s="184">
        <f t="shared" si="122"/>
        <v>988.98400000000004</v>
      </c>
      <c r="O70" s="184">
        <f>+O59</f>
        <v>989.30799999999999</v>
      </c>
      <c r="P70" s="184">
        <f t="shared" ref="P70" si="123">+P59</f>
        <v>1004.335</v>
      </c>
      <c r="S70" s="55"/>
      <c r="T70" s="55"/>
      <c r="U70" s="55"/>
      <c r="AC70" s="132"/>
    </row>
    <row r="71" spans="2:29" x14ac:dyDescent="0.25">
      <c r="B71" s="182" t="s">
        <v>7</v>
      </c>
      <c r="F71" s="5">
        <f t="shared" ref="F71:N71" si="124">F69-F70</f>
        <v>893.94299999999998</v>
      </c>
      <c r="G71" s="5">
        <f t="shared" si="124"/>
        <v>1600.53</v>
      </c>
      <c r="H71" s="5">
        <f t="shared" si="124"/>
        <v>1780.2619999999999</v>
      </c>
      <c r="I71" s="5">
        <f t="shared" si="124"/>
        <v>1925.559</v>
      </c>
      <c r="J71" s="5">
        <f t="shared" si="124"/>
        <v>2016.5770000000002</v>
      </c>
      <c r="K71" s="5">
        <f t="shared" si="124"/>
        <v>2144.9299999999998</v>
      </c>
      <c r="L71" s="5">
        <f t="shared" si="124"/>
        <v>2087.13</v>
      </c>
      <c r="M71" s="5">
        <f t="shared" si="124"/>
        <v>2032.8440000000001</v>
      </c>
      <c r="N71" s="5">
        <f t="shared" si="124"/>
        <v>1988.4900000000002</v>
      </c>
      <c r="O71" s="5">
        <f t="shared" ref="O71:P71" si="125">O69-O70</f>
        <v>2102.6120000000001</v>
      </c>
      <c r="P71" s="5">
        <f t="shared" si="125"/>
        <v>2020.4279999999999</v>
      </c>
    </row>
    <row r="73" spans="2:29" s="57" customFormat="1" x14ac:dyDescent="0.25">
      <c r="B73" s="57" t="s">
        <v>0</v>
      </c>
      <c r="C73" s="183"/>
      <c r="D73" s="183"/>
      <c r="E73" s="183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6">
        <v>44.98</v>
      </c>
      <c r="P73" s="57">
        <v>40.299999999999997</v>
      </c>
      <c r="S73" s="55"/>
      <c r="T73" s="55"/>
      <c r="U73" s="55"/>
      <c r="AC73" s="132"/>
    </row>
    <row r="74" spans="2:29" s="57" customFormat="1" x14ac:dyDescent="0.25">
      <c r="B74" s="57" t="s">
        <v>2</v>
      </c>
      <c r="C74" s="183"/>
      <c r="D74" s="183"/>
      <c r="E74" s="183"/>
      <c r="F74" s="55"/>
      <c r="G74" s="184">
        <f t="shared" ref="G74:I74" si="126">G73*G20</f>
        <v>18870.327420000001</v>
      </c>
      <c r="H74" s="184">
        <f t="shared" si="126"/>
        <v>51405.574000000001</v>
      </c>
      <c r="I74" s="184">
        <f t="shared" si="126"/>
        <v>43511.662599999996</v>
      </c>
      <c r="J74" s="184">
        <f>J73*J20</f>
        <v>59991.150599999994</v>
      </c>
      <c r="K74" s="184">
        <f t="shared" ref="K74:L74" si="127">K73*K20</f>
        <v>27213.211039999998</v>
      </c>
      <c r="L74" s="184">
        <f t="shared" si="127"/>
        <v>19516.47408</v>
      </c>
      <c r="M74" s="184">
        <f t="shared" ref="M74:N74" si="128">M73*M20</f>
        <v>21424.399360000003</v>
      </c>
      <c r="N74" s="184">
        <f t="shared" si="128"/>
        <v>17074.739830000002</v>
      </c>
      <c r="O74" s="184">
        <f t="shared" ref="O74:P74" si="129">O73*O20</f>
        <v>27286.532259999996</v>
      </c>
      <c r="P74" s="184">
        <f t="shared" si="129"/>
        <v>24691.366699999995</v>
      </c>
      <c r="S74" s="55"/>
      <c r="T74" s="55"/>
      <c r="U74" s="55"/>
      <c r="AC74" s="132"/>
    </row>
    <row r="75" spans="2:29" x14ac:dyDescent="0.25">
      <c r="B75" s="182" t="s">
        <v>5</v>
      </c>
      <c r="F75" s="5">
        <f t="shared" ref="F75:K75" si="130">F74-F71</f>
        <v>-893.94299999999998</v>
      </c>
      <c r="G75" s="5">
        <f t="shared" si="130"/>
        <v>17269.797420000003</v>
      </c>
      <c r="H75" s="5">
        <f t="shared" si="130"/>
        <v>49625.311999999998</v>
      </c>
      <c r="I75" s="5">
        <f t="shared" si="130"/>
        <v>41586.103599999995</v>
      </c>
      <c r="J75" s="5">
        <f t="shared" si="130"/>
        <v>57974.573599999996</v>
      </c>
      <c r="K75" s="5">
        <f t="shared" si="130"/>
        <v>25068.281039999998</v>
      </c>
      <c r="L75" s="5">
        <f>L74-L71</f>
        <v>17429.344079999999</v>
      </c>
      <c r="M75" s="5">
        <f t="shared" ref="M75:N75" si="131">M74-M71</f>
        <v>19391.555360000002</v>
      </c>
      <c r="N75" s="5">
        <f t="shared" si="131"/>
        <v>15086.249830000002</v>
      </c>
      <c r="O75" s="5">
        <f t="shared" ref="O75:P75" si="132">O74-O71</f>
        <v>25183.920259999995</v>
      </c>
      <c r="P75" s="5">
        <f t="shared" si="132"/>
        <v>22670.938699999995</v>
      </c>
    </row>
    <row r="77" spans="2:29" x14ac:dyDescent="0.25">
      <c r="B77" s="182" t="s">
        <v>204</v>
      </c>
      <c r="G77" s="190">
        <f t="shared" ref="G77:I77" si="133">G73/G67</f>
        <v>31.897428675747243</v>
      </c>
      <c r="H77" s="190">
        <f t="shared" si="133"/>
        <v>94.837408378363875</v>
      </c>
      <c r="I77" s="190">
        <f t="shared" si="133"/>
        <v>71.82145284741128</v>
      </c>
      <c r="J77" s="190">
        <f>J73/J67</f>
        <v>101.1783119281527</v>
      </c>
      <c r="K77" s="190">
        <f t="shared" ref="K77:L77" si="134">K73/K67</f>
        <v>47.956090444982024</v>
      </c>
      <c r="L77" s="190">
        <f t="shared" si="134"/>
        <v>35.381193604774282</v>
      </c>
      <c r="M77" s="190">
        <f t="shared" ref="M77:N77" si="135">M73/M67</f>
        <v>50.45879187549442</v>
      </c>
      <c r="N77" s="190">
        <f t="shared" si="135"/>
        <v>55.976330027701934</v>
      </c>
      <c r="O77" s="190">
        <f t="shared" ref="O77:P77" si="136">O73/O67</f>
        <v>111.29092780057231</v>
      </c>
      <c r="P77" s="190">
        <f t="shared" si="136"/>
        <v>150.37373142509068</v>
      </c>
    </row>
    <row r="78" spans="2:29" x14ac:dyDescent="0.25">
      <c r="B78" s="182" t="s">
        <v>213</v>
      </c>
      <c r="G78" s="190">
        <f t="shared" ref="G78" si="137">G74/SUM(D3:G3)</f>
        <v>16.419103099215079</v>
      </c>
      <c r="H78" s="190">
        <f t="shared" ref="H78" si="138">H74/SUM(E3:H3)</f>
        <v>36.639779500911978</v>
      </c>
      <c r="I78" s="190">
        <f t="shared" ref="I78" si="139">I74/SUM(F3:I3)</f>
        <v>26.205198922441955</v>
      </c>
      <c r="J78" s="190">
        <f t="shared" ref="J78:K78" si="140">J74/SUM(G3:J3)</f>
        <v>31.25872473727074</v>
      </c>
      <c r="K78" s="190">
        <f t="shared" si="140"/>
        <v>13.150678086094159</v>
      </c>
      <c r="L78" s="190">
        <f>L74/SUM(I3:L3)</f>
        <v>8.8452081220206615</v>
      </c>
      <c r="M78" s="190">
        <f t="shared" ref="M78" si="141">M74/SUM(J3:M3)</f>
        <v>9.6732142474976506</v>
      </c>
      <c r="N78" s="190">
        <f>N74/SUM($K$3:$N$3)</f>
        <v>7.6738610288658444</v>
      </c>
      <c r="O78" s="190">
        <f t="shared" ref="O78:P78" si="142">O74/SUM($K$3:$N$3)</f>
        <v>12.263323400981191</v>
      </c>
      <c r="P78" s="190">
        <f t="shared" si="142"/>
        <v>11.096984115427414</v>
      </c>
    </row>
    <row r="79" spans="2:29" x14ac:dyDescent="0.25">
      <c r="B79" s="197" t="s">
        <v>218</v>
      </c>
      <c r="G79" s="190">
        <f t="shared" ref="G79" si="143">G75/SUM(D3:G3)</f>
        <v>15.026479298976499</v>
      </c>
      <c r="H79" s="190">
        <f t="shared" ref="H79" si="144">H75/SUM(E3:H3)</f>
        <v>35.370881946458979</v>
      </c>
      <c r="I79" s="190">
        <f t="shared" ref="I79" si="145">I75/SUM(F3:I3)</f>
        <v>25.045517733153215</v>
      </c>
      <c r="J79" s="190">
        <f t="shared" ref="J79:K79" si="146">J75/SUM(G3:J3)</f>
        <v>30.207976006431906</v>
      </c>
      <c r="K79" s="190">
        <f t="shared" si="146"/>
        <v>12.114149030197565</v>
      </c>
      <c r="L79" s="190">
        <f>L75/SUM(I3:L3)</f>
        <v>7.8992842244949566</v>
      </c>
      <c r="M79" s="190">
        <f t="shared" ref="M79" si="147">M75/SUM(J3:M3)</f>
        <v>8.7553758888431883</v>
      </c>
      <c r="N79" s="190">
        <f t="shared" ref="N79:O79" si="148">N75/SUM($K$3:$N$3)</f>
        <v>6.7801785441418918</v>
      </c>
      <c r="O79" s="190">
        <f t="shared" si="148"/>
        <v>11.318351328418391</v>
      </c>
      <c r="P79" s="190">
        <f t="shared" ref="P79" si="149">P75/SUM($K$3:$N$3)</f>
        <v>10.188947808860197</v>
      </c>
    </row>
    <row r="80" spans="2:29" x14ac:dyDescent="0.25">
      <c r="B80" s="182" t="s">
        <v>214</v>
      </c>
      <c r="G80" s="190">
        <f t="shared" ref="G80:L80" si="150">G73/SUM(D19:G19)</f>
        <v>-44.675361443232362</v>
      </c>
      <c r="H80" s="190">
        <f t="shared" si="150"/>
        <v>-69.182197616608946</v>
      </c>
      <c r="I80" s="190">
        <f t="shared" si="150"/>
        <v>-65.015776279415363</v>
      </c>
      <c r="J80" s="190">
        <f t="shared" si="150"/>
        <v>-93.354276916433804</v>
      </c>
      <c r="K80" s="190">
        <f t="shared" si="150"/>
        <v>-50.661466911577669</v>
      </c>
      <c r="L80" s="190">
        <f t="shared" si="150"/>
        <v>-34.073155589366579</v>
      </c>
      <c r="M80" s="190">
        <f>M73/SUM(J19:M19)</f>
        <v>-26.838223427392109</v>
      </c>
      <c r="N80" s="190">
        <f>N73/SUM($K$19:$N$19)</f>
        <v>-18.110490695810771</v>
      </c>
      <c r="O80" s="190">
        <f t="shared" ref="O80:P80" si="151">O73/SUM($K$19:$N$19)</f>
        <v>-28.713777634739813</v>
      </c>
      <c r="P80" s="190">
        <f t="shared" si="151"/>
        <v>-25.726216955980757</v>
      </c>
      <c r="Q80" s="207"/>
      <c r="R80" s="207"/>
    </row>
    <row r="81" spans="2:29" x14ac:dyDescent="0.25">
      <c r="B81" s="207" t="s">
        <v>253</v>
      </c>
      <c r="G81" s="80">
        <f t="shared" ref="G81:L81" si="152">SUM(D12:G12)/(G51-SUM(G53:G56))</f>
        <v>-0.25137548210801064</v>
      </c>
      <c r="H81" s="80">
        <f t="shared" si="152"/>
        <v>-0.30583278280508219</v>
      </c>
      <c r="I81" s="80">
        <f t="shared" si="152"/>
        <v>-0.31302756573649004</v>
      </c>
      <c r="J81" s="80">
        <f t="shared" si="152"/>
        <v>-0.20685053640976875</v>
      </c>
      <c r="K81" s="80">
        <f t="shared" si="152"/>
        <v>-0.2013507520159552</v>
      </c>
      <c r="L81" s="80">
        <f t="shared" si="152"/>
        <v>-0.20293605022212965</v>
      </c>
      <c r="M81" s="80">
        <f>SUM(J12:M12)/(M51-SUM(M53:M56))</f>
        <v>-0.27196075945524634</v>
      </c>
      <c r="N81" s="80">
        <f>SUM(K12:N12)/(N51-SUM(N53:N56))</f>
        <v>-0.31913473536715303</v>
      </c>
      <c r="O81" s="80">
        <f t="shared" ref="O81:P81" si="153">SUM(L12:O12)/(O51-SUM(O53:O56))</f>
        <v>-0.37425115938147524</v>
      </c>
      <c r="P81" s="80">
        <f t="shared" si="153"/>
        <v>-0.40562083359124573</v>
      </c>
      <c r="Q81" s="207"/>
      <c r="R81" s="207"/>
    </row>
    <row r="82" spans="2:29" x14ac:dyDescent="0.25">
      <c r="B82" s="265" t="s">
        <v>318</v>
      </c>
      <c r="F82" s="190"/>
      <c r="G82" s="190">
        <f t="shared" ref="G82:M82" si="154">G75/SUM(D34:G34)</f>
        <v>7.5570912427732031</v>
      </c>
      <c r="H82" s="190">
        <f t="shared" si="154"/>
        <v>20.201197368833483</v>
      </c>
      <c r="I82" s="190">
        <f t="shared" si="154"/>
        <v>16.007578271843308</v>
      </c>
      <c r="J82" s="190">
        <f t="shared" si="154"/>
        <v>21.269562307893807</v>
      </c>
      <c r="K82" s="190">
        <f t="shared" si="154"/>
        <v>9.268637372510522</v>
      </c>
      <c r="L82" s="190">
        <f t="shared" si="154"/>
        <v>6.5057757561709204</v>
      </c>
      <c r="M82" s="190">
        <f t="shared" si="154"/>
        <v>7.0696655685684338</v>
      </c>
      <c r="N82" s="190">
        <f>N75/SUM(K34:N34)</f>
        <v>5.2524921001543072</v>
      </c>
      <c r="O82" s="190">
        <f t="shared" ref="O82:P82" si="155">O75/SUM(L34:O34)</f>
        <v>8.3534242912138179</v>
      </c>
      <c r="P82" s="190">
        <f t="shared" si="155"/>
        <v>7.1843512168842691</v>
      </c>
      <c r="Q82" s="207"/>
      <c r="R82" s="207"/>
    </row>
    <row r="83" spans="2:29" x14ac:dyDescent="0.25">
      <c r="B83" s="207"/>
      <c r="G83" s="80"/>
      <c r="H83" s="80"/>
      <c r="I83" s="80"/>
      <c r="J83" s="80"/>
      <c r="K83" s="80"/>
      <c r="L83" s="80"/>
      <c r="M83" s="80"/>
      <c r="P83" s="207"/>
      <c r="Q83" s="207"/>
      <c r="R83" s="207"/>
    </row>
    <row r="84" spans="2:29" x14ac:dyDescent="0.25">
      <c r="B84" s="207"/>
      <c r="G84" s="80"/>
      <c r="H84" s="80"/>
      <c r="I84" s="80"/>
      <c r="J84" s="80"/>
      <c r="K84" s="80"/>
      <c r="L84" s="80"/>
      <c r="M84" s="80"/>
      <c r="P84" s="207"/>
      <c r="Q84" s="207"/>
      <c r="R84" s="207"/>
    </row>
    <row r="85" spans="2:29" s="9" customFormat="1" x14ac:dyDescent="0.25">
      <c r="B85" s="209" t="s">
        <v>272</v>
      </c>
      <c r="C85" s="210"/>
      <c r="D85" s="210"/>
      <c r="E85" s="210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156">J18</f>
        <v>-147.25700000000003</v>
      </c>
      <c r="K85" s="5">
        <f t="shared" si="156"/>
        <v>-162.00600000000003</v>
      </c>
      <c r="L85" s="5">
        <f t="shared" si="156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" si="157">P18</f>
        <v>-284.84100000000007</v>
      </c>
      <c r="Q85" s="211"/>
      <c r="R85" s="211"/>
      <c r="S85" s="5"/>
      <c r="T85" s="5"/>
      <c r="U85" s="5"/>
      <c r="AC85" s="115"/>
    </row>
    <row r="86" spans="2:29" s="9" customFormat="1" x14ac:dyDescent="0.25">
      <c r="B86" s="209" t="s">
        <v>273</v>
      </c>
      <c r="C86" s="210"/>
      <c r="D86" s="210"/>
      <c r="E86" s="210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7">
        <v>-269.94799999999998</v>
      </c>
      <c r="P86" s="211">
        <f>P85</f>
        <v>-284.84100000000007</v>
      </c>
      <c r="Q86" s="211"/>
      <c r="R86" s="211"/>
      <c r="S86" s="5"/>
      <c r="T86" s="5"/>
      <c r="U86" s="5"/>
      <c r="AC86" s="115"/>
    </row>
    <row r="87" spans="2:29" s="9" customFormat="1" x14ac:dyDescent="0.25">
      <c r="B87" s="212"/>
      <c r="C87" s="210"/>
      <c r="D87" s="210"/>
      <c r="E87" s="210"/>
      <c r="F87" s="5"/>
      <c r="G87" s="5"/>
      <c r="H87" s="5"/>
      <c r="I87" s="5"/>
      <c r="J87" s="5"/>
      <c r="K87" s="5"/>
      <c r="L87" s="5"/>
      <c r="M87" s="5"/>
      <c r="N87" s="5"/>
      <c r="O87" s="277"/>
      <c r="S87" s="5"/>
      <c r="T87" s="5"/>
      <c r="U87" s="5"/>
      <c r="AC87" s="115"/>
    </row>
    <row r="88" spans="2:29" s="9" customFormat="1" x14ac:dyDescent="0.25">
      <c r="B88" s="213" t="s">
        <v>252</v>
      </c>
      <c r="C88" s="210"/>
      <c r="D88" s="210"/>
      <c r="E88" s="210"/>
      <c r="F88" s="5"/>
      <c r="G88" s="5"/>
      <c r="H88" s="5"/>
      <c r="I88" s="5"/>
      <c r="J88" s="5"/>
      <c r="K88" s="5"/>
      <c r="L88" s="5"/>
      <c r="M88" s="5"/>
      <c r="N88" s="5"/>
      <c r="O88" s="277"/>
      <c r="S88" s="5"/>
      <c r="T88" s="5"/>
      <c r="U88" s="5"/>
      <c r="AC88" s="115"/>
    </row>
    <row r="89" spans="2:29" s="9" customFormat="1" x14ac:dyDescent="0.25">
      <c r="B89" s="214" t="s">
        <v>254</v>
      </c>
      <c r="C89" s="210"/>
      <c r="D89" s="210"/>
      <c r="E89" s="210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7">
        <v>47.411999999999999</v>
      </c>
      <c r="P89" s="9">
        <v>100.011</v>
      </c>
      <c r="S89" s="5"/>
      <c r="T89" s="5"/>
      <c r="U89" s="5"/>
      <c r="AC89" s="115"/>
    </row>
    <row r="90" spans="2:29" s="9" customFormat="1" x14ac:dyDescent="0.25">
      <c r="B90" s="214" t="s">
        <v>255</v>
      </c>
      <c r="C90" s="210"/>
      <c r="D90" s="210"/>
      <c r="E90" s="210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7">
        <v>184.904</v>
      </c>
      <c r="P90" s="9">
        <v>397.26600000000002</v>
      </c>
      <c r="S90" s="5"/>
      <c r="T90" s="5"/>
      <c r="U90" s="5"/>
      <c r="AC90" s="115"/>
    </row>
    <row r="91" spans="2:29" s="9" customFormat="1" x14ac:dyDescent="0.25">
      <c r="B91" s="214" t="s">
        <v>257</v>
      </c>
      <c r="C91" s="210"/>
      <c r="D91" s="210"/>
      <c r="E91" s="210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7">
        <v>21.244</v>
      </c>
      <c r="P91" s="9">
        <v>44.753</v>
      </c>
      <c r="S91" s="5"/>
      <c r="T91" s="5"/>
      <c r="U91" s="5"/>
      <c r="AC91" s="115"/>
    </row>
    <row r="92" spans="2:29" s="9" customFormat="1" x14ac:dyDescent="0.25">
      <c r="B92" s="277" t="s">
        <v>324</v>
      </c>
      <c r="C92" s="210"/>
      <c r="D92" s="210"/>
      <c r="E92" s="210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7">
        <v>-12.122</v>
      </c>
      <c r="P92" s="9">
        <v>-31.745000000000001</v>
      </c>
      <c r="S92" s="5"/>
      <c r="T92" s="5"/>
      <c r="U92" s="5"/>
      <c r="AC92" s="115"/>
    </row>
    <row r="93" spans="2:29" s="9" customFormat="1" x14ac:dyDescent="0.25">
      <c r="B93" s="214" t="s">
        <v>256</v>
      </c>
      <c r="C93" s="210"/>
      <c r="D93" s="210"/>
      <c r="E93" s="210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7">
        <v>0</v>
      </c>
      <c r="P93" s="9">
        <v>0</v>
      </c>
      <c r="S93" s="5"/>
      <c r="T93" s="5"/>
      <c r="U93" s="5"/>
      <c r="AC93" s="115"/>
    </row>
    <row r="94" spans="2:29" s="9" customFormat="1" x14ac:dyDescent="0.25">
      <c r="B94" s="214" t="s">
        <v>258</v>
      </c>
      <c r="C94" s="210"/>
      <c r="D94" s="210"/>
      <c r="E94" s="210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7">
        <v>0.32400000000000001</v>
      </c>
      <c r="P94" s="9">
        <v>0.65100000000000002</v>
      </c>
      <c r="S94" s="5"/>
      <c r="T94" s="5"/>
      <c r="U94" s="5"/>
      <c r="AC94" s="115"/>
    </row>
    <row r="95" spans="2:29" s="9" customFormat="1" x14ac:dyDescent="0.25">
      <c r="B95" s="277" t="s">
        <v>325</v>
      </c>
      <c r="C95" s="210"/>
      <c r="D95" s="210"/>
      <c r="E95" s="210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7">
        <v>8.2360000000000007</v>
      </c>
      <c r="P95" s="9">
        <v>6.1689999999999996</v>
      </c>
      <c r="S95" s="5"/>
      <c r="T95" s="5"/>
      <c r="U95" s="5"/>
      <c r="AC95" s="115"/>
    </row>
    <row r="96" spans="2:29" s="9" customFormat="1" x14ac:dyDescent="0.25">
      <c r="B96" s="214" t="s">
        <v>259</v>
      </c>
      <c r="C96" s="210"/>
      <c r="D96" s="210"/>
      <c r="E96" s="210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>SUM(L97:L106)</f>
        <v>11.184999999999997</v>
      </c>
      <c r="M96" s="9">
        <f>SUM(M97:M106)</f>
        <v>156.023</v>
      </c>
      <c r="N96" s="9">
        <f>SUM(N97:N106)</f>
        <v>207.78100000000003</v>
      </c>
      <c r="O96" s="9">
        <f>SUM(O97:O106)</f>
        <v>193.73099999999999</v>
      </c>
      <c r="P96" s="9">
        <f>SUM(P97:P106)</f>
        <v>239.85499999999999</v>
      </c>
      <c r="S96" s="5"/>
      <c r="T96" s="5"/>
      <c r="U96" s="5"/>
      <c r="AC96" s="115"/>
    </row>
    <row r="97" spans="2:29" s="9" customFormat="1" x14ac:dyDescent="0.25">
      <c r="B97" s="209" t="s">
        <v>37</v>
      </c>
      <c r="C97" s="210"/>
      <c r="D97" s="210"/>
      <c r="E97" s="210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32">
        <v>-192.42699999999999</v>
      </c>
      <c r="O97" s="277">
        <v>113.193</v>
      </c>
      <c r="P97" s="9">
        <v>122.628</v>
      </c>
      <c r="S97" s="5"/>
      <c r="T97" s="5"/>
      <c r="U97" s="5"/>
      <c r="AC97" s="115"/>
    </row>
    <row r="98" spans="2:29" s="9" customFormat="1" x14ac:dyDescent="0.25">
      <c r="B98" s="209" t="s">
        <v>46</v>
      </c>
      <c r="C98" s="210"/>
      <c r="D98" s="210"/>
      <c r="E98" s="210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7">
        <v>18.306999999999999</v>
      </c>
      <c r="P98" s="9">
        <v>1.5760000000000001</v>
      </c>
      <c r="S98" s="5"/>
      <c r="T98" s="5"/>
      <c r="U98" s="5"/>
      <c r="AC98" s="115"/>
    </row>
    <row r="99" spans="2:29" s="9" customFormat="1" x14ac:dyDescent="0.25">
      <c r="B99" s="209" t="s">
        <v>274</v>
      </c>
      <c r="C99" s="210"/>
      <c r="D99" s="210"/>
      <c r="E99" s="210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7">
        <v>-8.359</v>
      </c>
      <c r="P99" s="9">
        <v>-6.1589999999999998</v>
      </c>
      <c r="S99" s="5"/>
      <c r="T99" s="5"/>
      <c r="U99" s="5"/>
      <c r="AC99" s="115"/>
    </row>
    <row r="100" spans="2:29" s="9" customFormat="1" x14ac:dyDescent="0.25">
      <c r="B100" s="209" t="s">
        <v>275</v>
      </c>
      <c r="C100" s="210"/>
      <c r="D100" s="210"/>
      <c r="E100" s="210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7">
        <v>-2.1579999999999999</v>
      </c>
      <c r="P100" s="9">
        <v>-6.6909999999999998</v>
      </c>
      <c r="S100" s="5"/>
      <c r="T100" s="5"/>
      <c r="U100" s="5"/>
      <c r="AC100" s="115"/>
    </row>
    <row r="101" spans="2:29" s="9" customFormat="1" x14ac:dyDescent="0.25">
      <c r="B101" s="209" t="s">
        <v>48</v>
      </c>
      <c r="C101" s="210"/>
      <c r="D101" s="210"/>
      <c r="E101" s="210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7">
        <v>-3.8650000000000002</v>
      </c>
      <c r="P101" s="9">
        <v>-11.156000000000001</v>
      </c>
      <c r="S101" s="5"/>
      <c r="T101" s="5"/>
      <c r="U101" s="5"/>
      <c r="AC101" s="115"/>
    </row>
    <row r="102" spans="2:29" s="9" customFormat="1" x14ac:dyDescent="0.25">
      <c r="B102" s="209" t="s">
        <v>276</v>
      </c>
      <c r="C102" s="210"/>
      <c r="D102" s="210"/>
      <c r="E102" s="210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7">
        <v>-17.004000000000001</v>
      </c>
      <c r="P102" s="9">
        <v>-22.344000000000001</v>
      </c>
      <c r="S102" s="5"/>
      <c r="T102" s="5"/>
      <c r="U102" s="5"/>
      <c r="AC102" s="115"/>
    </row>
    <row r="103" spans="2:29" s="9" customFormat="1" x14ac:dyDescent="0.25">
      <c r="B103" s="209" t="s">
        <v>277</v>
      </c>
      <c r="C103" s="210"/>
      <c r="D103" s="210"/>
      <c r="E103" s="210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7">
        <v>1.97</v>
      </c>
      <c r="P103" s="9">
        <v>2.286</v>
      </c>
      <c r="S103" s="5"/>
      <c r="T103" s="5"/>
      <c r="U103" s="5"/>
      <c r="AC103" s="115"/>
    </row>
    <row r="104" spans="2:29" s="9" customFormat="1" x14ac:dyDescent="0.25">
      <c r="B104" s="209" t="s">
        <v>278</v>
      </c>
      <c r="C104" s="210"/>
      <c r="D104" s="210"/>
      <c r="E104" s="210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7">
        <v>-11.999000000000001</v>
      </c>
      <c r="P104" s="9">
        <v>-30.843</v>
      </c>
      <c r="S104" s="5"/>
      <c r="T104" s="5"/>
      <c r="U104" s="5"/>
      <c r="AC104" s="115"/>
    </row>
    <row r="105" spans="2:29" s="9" customFormat="1" x14ac:dyDescent="0.25">
      <c r="B105" s="209" t="s">
        <v>279</v>
      </c>
      <c r="C105" s="210"/>
      <c r="D105" s="210"/>
      <c r="E105" s="210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7">
        <v>123.783</v>
      </c>
      <c r="P105" s="9">
        <v>229.155</v>
      </c>
      <c r="S105" s="5"/>
      <c r="T105" s="5"/>
      <c r="U105" s="5"/>
      <c r="AC105" s="115"/>
    </row>
    <row r="106" spans="2:29" s="9" customFormat="1" x14ac:dyDescent="0.25">
      <c r="B106" s="209" t="s">
        <v>280</v>
      </c>
      <c r="C106" s="210"/>
      <c r="D106" s="210"/>
      <c r="E106" s="210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7">
        <v>-20.137</v>
      </c>
      <c r="P106" s="9">
        <v>-38.597000000000001</v>
      </c>
      <c r="S106" s="5"/>
      <c r="T106" s="5"/>
      <c r="U106" s="5"/>
      <c r="AC106" s="115"/>
    </row>
    <row r="107" spans="2:29" s="3" customFormat="1" x14ac:dyDescent="0.25">
      <c r="B107" s="3" t="s">
        <v>260</v>
      </c>
      <c r="C107" s="215"/>
      <c r="D107" s="215"/>
      <c r="E107" s="215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158">+L86+SUM(L89:L96)</f>
        <v>26.497000000000014</v>
      </c>
      <c r="M107" s="4">
        <f t="shared" si="158"/>
        <v>67.150000000000034</v>
      </c>
      <c r="N107" s="4">
        <f t="shared" si="158"/>
        <v>148.98950000000002</v>
      </c>
      <c r="O107" s="4">
        <f>+O86+SUM(O89:O96)</f>
        <v>173.78100000000001</v>
      </c>
      <c r="P107" s="4">
        <f>+P86+SUM(P89:P96)</f>
        <v>472.11900000000009</v>
      </c>
      <c r="S107" s="4"/>
      <c r="T107" s="4"/>
      <c r="U107" s="4"/>
      <c r="AC107" s="114"/>
    </row>
    <row r="108" spans="2:29" s="9" customFormat="1" x14ac:dyDescent="0.25">
      <c r="B108" s="212"/>
      <c r="C108" s="210"/>
      <c r="D108" s="210"/>
      <c r="E108" s="210"/>
      <c r="F108" s="5"/>
      <c r="G108" s="5"/>
      <c r="H108" s="5"/>
      <c r="I108" s="5"/>
      <c r="J108" s="5"/>
      <c r="K108" s="5"/>
      <c r="L108" s="5"/>
      <c r="M108" s="5"/>
      <c r="N108" s="5"/>
      <c r="O108" s="277"/>
      <c r="S108" s="5"/>
      <c r="T108" s="5"/>
      <c r="U108" s="5"/>
      <c r="AC108" s="115"/>
    </row>
    <row r="109" spans="2:29" s="9" customFormat="1" x14ac:dyDescent="0.25">
      <c r="B109" s="214" t="s">
        <v>261</v>
      </c>
      <c r="C109" s="210"/>
      <c r="D109" s="210"/>
      <c r="E109" s="210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7">
        <v>-91.358999999999995</v>
      </c>
      <c r="P109" s="9">
        <v>-202.274</v>
      </c>
      <c r="S109" s="5"/>
      <c r="T109" s="5"/>
      <c r="U109" s="5"/>
      <c r="AC109" s="115"/>
    </row>
    <row r="110" spans="2:29" s="9" customFormat="1" x14ac:dyDescent="0.25">
      <c r="B110" s="277" t="s">
        <v>326</v>
      </c>
      <c r="C110" s="210"/>
      <c r="D110" s="210"/>
      <c r="E110" s="210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7">
        <v>-2340.1999999999998</v>
      </c>
      <c r="P110" s="9">
        <v>-3042.76</v>
      </c>
      <c r="S110" s="5"/>
      <c r="T110" s="5"/>
      <c r="U110" s="5"/>
      <c r="AC110" s="115"/>
    </row>
    <row r="111" spans="2:29" s="9" customFormat="1" x14ac:dyDescent="0.25">
      <c r="B111" s="277" t="s">
        <v>327</v>
      </c>
      <c r="C111" s="210"/>
      <c r="D111" s="210"/>
      <c r="E111" s="210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7">
        <v>84.278999999999996</v>
      </c>
      <c r="P111" s="9">
        <v>229.279</v>
      </c>
      <c r="S111" s="5"/>
      <c r="T111" s="5"/>
      <c r="U111" s="5"/>
      <c r="AC111" s="115"/>
    </row>
    <row r="112" spans="2:29" s="9" customFormat="1" x14ac:dyDescent="0.25">
      <c r="B112" s="214" t="s">
        <v>262</v>
      </c>
      <c r="C112" s="210"/>
      <c r="D112" s="210"/>
      <c r="E112" s="210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7">
        <v>0</v>
      </c>
      <c r="P112" s="9">
        <v>0</v>
      </c>
      <c r="S112" s="5"/>
      <c r="T112" s="5"/>
      <c r="U112" s="5"/>
      <c r="AC112" s="115"/>
    </row>
    <row r="113" spans="2:29" s="9" customFormat="1" x14ac:dyDescent="0.25">
      <c r="B113" s="214" t="s">
        <v>263</v>
      </c>
      <c r="C113" s="210"/>
      <c r="D113" s="210"/>
      <c r="E113" s="210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7">
        <v>-0.5</v>
      </c>
      <c r="P113" s="9">
        <v>-13.5</v>
      </c>
      <c r="S113" s="5"/>
      <c r="T113" s="5"/>
      <c r="U113" s="5"/>
      <c r="AC113" s="115"/>
    </row>
    <row r="114" spans="2:29" s="3" customFormat="1" x14ac:dyDescent="0.25">
      <c r="B114" s="3" t="s">
        <v>264</v>
      </c>
      <c r="C114" s="215"/>
      <c r="D114" s="215"/>
      <c r="E114" s="215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159">SUM(L109:L113)</f>
        <v>-89.977000000000004</v>
      </c>
      <c r="M114" s="4">
        <f t="shared" si="159"/>
        <v>-134.85599999999999</v>
      </c>
      <c r="N114" s="4">
        <f t="shared" si="159"/>
        <v>-164.42800000000003</v>
      </c>
      <c r="O114" s="4">
        <f>SUM(O109:O113)</f>
        <v>-2347.7799999999997</v>
      </c>
      <c r="P114" s="4">
        <f>SUM(P109:P113)</f>
        <v>-3029.2550000000001</v>
      </c>
      <c r="S114" s="4"/>
      <c r="T114" s="4"/>
      <c r="U114" s="4"/>
      <c r="AC114" s="114"/>
    </row>
    <row r="115" spans="2:29" s="9" customFormat="1" x14ac:dyDescent="0.25">
      <c r="B115" s="212"/>
      <c r="C115" s="210"/>
      <c r="D115" s="210"/>
      <c r="E115" s="210"/>
      <c r="F115" s="5"/>
      <c r="G115" s="5"/>
      <c r="H115" s="5"/>
      <c r="I115" s="5"/>
      <c r="J115" s="5"/>
      <c r="K115" s="5"/>
      <c r="L115" s="5"/>
      <c r="M115" s="5"/>
      <c r="N115" s="5"/>
      <c r="O115" s="277"/>
      <c r="S115" s="5"/>
      <c r="T115" s="5"/>
      <c r="U115" s="5"/>
      <c r="AC115" s="115"/>
    </row>
    <row r="116" spans="2:29" s="9" customFormat="1" x14ac:dyDescent="0.25">
      <c r="B116" s="214" t="s">
        <v>265</v>
      </c>
      <c r="C116" s="210"/>
      <c r="D116" s="210"/>
      <c r="E116" s="210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7">
        <v>25.472000000000001</v>
      </c>
      <c r="P116" s="9">
        <v>31.106999999999999</v>
      </c>
      <c r="S116" s="5"/>
      <c r="T116" s="5"/>
      <c r="U116" s="5"/>
      <c r="AC116" s="115"/>
    </row>
    <row r="117" spans="2:29" s="9" customFormat="1" x14ac:dyDescent="0.25">
      <c r="B117" s="214" t="s">
        <v>266</v>
      </c>
      <c r="C117" s="210"/>
      <c r="D117" s="210"/>
      <c r="E117" s="210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7">
        <v>0</v>
      </c>
      <c r="P117" s="9">
        <v>0</v>
      </c>
      <c r="S117" s="5"/>
      <c r="T117" s="5"/>
      <c r="U117" s="5"/>
      <c r="AC117" s="115"/>
    </row>
    <row r="118" spans="2:29" s="9" customFormat="1" x14ac:dyDescent="0.25">
      <c r="B118" s="214" t="s">
        <v>267</v>
      </c>
      <c r="C118" s="210"/>
      <c r="D118" s="210"/>
      <c r="E118" s="210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7">
        <v>0</v>
      </c>
      <c r="P118" s="9">
        <v>14.7</v>
      </c>
      <c r="S118" s="5"/>
      <c r="T118" s="5"/>
      <c r="U118" s="5"/>
      <c r="AC118" s="115"/>
    </row>
    <row r="119" spans="2:29" s="9" customFormat="1" x14ac:dyDescent="0.25">
      <c r="B119" s="214" t="s">
        <v>268</v>
      </c>
      <c r="C119" s="210"/>
      <c r="D119" s="210"/>
      <c r="E119" s="210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7">
        <v>0</v>
      </c>
      <c r="P119" s="9">
        <v>0</v>
      </c>
      <c r="S119" s="5"/>
      <c r="T119" s="5"/>
      <c r="U119" s="5"/>
      <c r="AC119" s="115"/>
    </row>
    <row r="120" spans="2:29" s="9" customFormat="1" x14ac:dyDescent="0.25">
      <c r="B120" s="214" t="s">
        <v>269</v>
      </c>
      <c r="C120" s="210"/>
      <c r="D120" s="210"/>
      <c r="E120" s="210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7">
        <v>0</v>
      </c>
      <c r="P120" s="9">
        <v>0</v>
      </c>
      <c r="S120" s="5"/>
      <c r="T120" s="5"/>
      <c r="U120" s="5"/>
      <c r="AC120" s="115"/>
    </row>
    <row r="121" spans="2:29" s="9" customFormat="1" x14ac:dyDescent="0.25">
      <c r="B121" s="214" t="s">
        <v>270</v>
      </c>
      <c r="C121" s="210"/>
      <c r="D121" s="210"/>
      <c r="E121" s="210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7">
        <v>-0.75</v>
      </c>
      <c r="P121" s="9">
        <v>-0.75</v>
      </c>
      <c r="S121" s="5"/>
      <c r="T121" s="5"/>
      <c r="U121" s="5"/>
      <c r="AC121" s="115"/>
    </row>
    <row r="122" spans="2:29" s="3" customFormat="1" x14ac:dyDescent="0.25">
      <c r="B122" s="3" t="s">
        <v>271</v>
      </c>
      <c r="C122" s="215"/>
      <c r="D122" s="215"/>
      <c r="E122" s="215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>SUM(L116:L121)</f>
        <v>5.1280000000000001</v>
      </c>
      <c r="M122" s="4">
        <f>SUM(M116:M121)</f>
        <v>12.68</v>
      </c>
      <c r="N122" s="4">
        <f>SUM(N116:N121)</f>
        <v>1.8099999999999998</v>
      </c>
      <c r="O122" s="4">
        <f>SUM(O116:O121)</f>
        <v>24.722000000000001</v>
      </c>
      <c r="P122" s="4">
        <f>SUM(P116:P121)</f>
        <v>45.057000000000002</v>
      </c>
      <c r="S122" s="4"/>
      <c r="T122" s="4"/>
      <c r="U122" s="4"/>
      <c r="AC122" s="114"/>
    </row>
    <row r="124" spans="2:29" s="208" customFormat="1" x14ac:dyDescent="0.25">
      <c r="B124" s="208" t="s">
        <v>281</v>
      </c>
      <c r="C124"/>
      <c r="D124"/>
      <c r="E124"/>
      <c r="F124" s="216"/>
      <c r="G124" s="216"/>
      <c r="H124" s="217">
        <f>H109+H113</f>
        <v>-23.234999999999999</v>
      </c>
      <c r="I124" s="217">
        <f>I109+I113</f>
        <v>-10.561999999999999</v>
      </c>
      <c r="J124" s="216"/>
      <c r="K124" s="216"/>
      <c r="L124" s="217">
        <f>L109+L113</f>
        <v>-83.811999999999998</v>
      </c>
      <c r="M124" s="217">
        <f>M109+M113</f>
        <v>-134.85599999999999</v>
      </c>
      <c r="N124" s="217">
        <f t="shared" ref="N124:O124" si="160">N109+N113</f>
        <v>-157.20500000000001</v>
      </c>
      <c r="O124" s="217">
        <f t="shared" si="160"/>
        <v>-91.858999999999995</v>
      </c>
      <c r="P124" s="217">
        <f t="shared" ref="P124" si="161">P109+P113</f>
        <v>-215.774</v>
      </c>
      <c r="S124" s="216"/>
      <c r="T124" s="216"/>
      <c r="U124" s="216"/>
      <c r="AC124" s="230"/>
    </row>
    <row r="125" spans="2:29" s="288" customFormat="1" x14ac:dyDescent="0.25">
      <c r="B125" s="288" t="s">
        <v>328</v>
      </c>
      <c r="C125" s="289"/>
      <c r="D125" s="289"/>
      <c r="E125" s="289"/>
      <c r="F125" s="290"/>
      <c r="G125" s="290"/>
      <c r="H125" s="291">
        <f t="shared" ref="H125" si="162">+H107+H124</f>
        <v>168.01600000000002</v>
      </c>
      <c r="I125" s="291">
        <f t="shared" ref="I125" si="163">+I107+I124</f>
        <v>170.60399999999998</v>
      </c>
      <c r="J125" s="290"/>
      <c r="K125" s="290"/>
      <c r="L125" s="291">
        <f t="shared" ref="L125:N125" si="164">+L107+L124</f>
        <v>-57.314999999999984</v>
      </c>
      <c r="M125" s="291">
        <f t="shared" si="164"/>
        <v>-67.70599999999996</v>
      </c>
      <c r="N125" s="291">
        <f t="shared" si="164"/>
        <v>-8.2154999999999916</v>
      </c>
      <c r="O125" s="291">
        <f>+O107+O124</f>
        <v>81.922000000000011</v>
      </c>
      <c r="P125" s="291">
        <f t="shared" ref="P125" si="165">+P107+P124</f>
        <v>256.34500000000008</v>
      </c>
      <c r="S125" s="290"/>
      <c r="T125" s="290"/>
      <c r="U125" s="290"/>
      <c r="AC125" s="292"/>
    </row>
    <row r="127" spans="2:29" x14ac:dyDescent="0.25">
      <c r="B127" s="208"/>
    </row>
    <row r="128" spans="2:29" x14ac:dyDescent="0.25">
      <c r="B128" s="208"/>
    </row>
  </sheetData>
  <phoneticPr fontId="36" type="noConversion"/>
  <hyperlinks>
    <hyperlink ref="L1" r:id="rId1" xr:uid="{F0F1B078-C7E3-AA47-9924-08C1D4511F24}"/>
    <hyperlink ref="M1" r:id="rId2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</hyperlinks>
  <pageMargins left="0.7" right="0.7" top="0.75" bottom="0.75" header="0.3" footer="0.3"/>
  <pageSetup paperSize="119" orientation="portrait" horizontalDpi="203" verticalDpi="203" r:id="rId6"/>
  <ignoredErrors>
    <ignoredError sqref="Z3:Z4 Z6:Z8 Z9:Z13 AA3:AA4 Z17:Z20 AA17:AA20 AA6:AA13 Z15 AA15 K78 K79 G78:J79 L78:L79 G81:L81 AB3:AB4 AB6:AB15 M78:M81 N81:O82 P81:P82" formulaRange="1"/>
    <ignoredError sqref="Z5 Z16:AA16 Z14 AB21 AC16:AO16 AC18 AD18:AO18 AP13:AQ18 AD20:AO20 AB18" formula="1"/>
    <ignoredError sqref="AA5 AA14 AB16:AB17 AB5" formula="1" formulaRange="1"/>
  </ignoredError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C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3" sqref="M13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5" width="9" style="22"/>
    <col min="26" max="26" width="9" style="234"/>
    <col min="27" max="16384" width="9" style="22"/>
  </cols>
  <sheetData>
    <row r="1" spans="1:29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/>
      <c r="W1" s="25" t="s">
        <v>110</v>
      </c>
      <c r="X1" s="25" t="s">
        <v>89</v>
      </c>
      <c r="Y1" s="25" t="s">
        <v>90</v>
      </c>
      <c r="Z1" s="25" t="s">
        <v>91</v>
      </c>
      <c r="AA1" s="25" t="s">
        <v>95</v>
      </c>
      <c r="AB1" s="25" t="s">
        <v>96</v>
      </c>
      <c r="AC1" s="25" t="s">
        <v>97</v>
      </c>
    </row>
    <row r="2" spans="1:29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W2" s="3">
        <f>AVERAGE(D2:G2)</f>
        <v>17.600000000000001</v>
      </c>
      <c r="X2" s="3">
        <f>AVERAGE(H2:K2)</f>
        <v>32.575000000000003</v>
      </c>
      <c r="Y2" s="3">
        <f>AVERAGE(L2:O2)</f>
        <v>45.525000000000006</v>
      </c>
      <c r="Z2" s="3">
        <f>AVERAGE(P2:S2)</f>
        <v>55.975000000000009</v>
      </c>
    </row>
    <row r="3" spans="1:29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W3" s="119" t="s">
        <v>33</v>
      </c>
      <c r="X3" s="119" t="s">
        <v>33</v>
      </c>
      <c r="Y3" s="119" t="s">
        <v>33</v>
      </c>
      <c r="Z3" s="232" t="s">
        <v>33</v>
      </c>
    </row>
    <row r="4" spans="1:29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5">G2/C2-1</f>
        <v>0.39416058394160602</v>
      </c>
      <c r="H4" s="28">
        <f t="shared" si="5"/>
        <v>0.49367088607594933</v>
      </c>
      <c r="I4" s="28">
        <f t="shared" si="5"/>
        <v>0.95321637426900563</v>
      </c>
      <c r="J4" s="28">
        <f t="shared" si="5"/>
        <v>0.96739130434782639</v>
      </c>
      <c r="K4" s="32">
        <f t="shared" si="5"/>
        <v>0.94240837696335067</v>
      </c>
      <c r="L4" s="28">
        <f t="shared" si="5"/>
        <v>0.78389830508474567</v>
      </c>
      <c r="M4" s="28">
        <f t="shared" si="5"/>
        <v>0.29341317365269481</v>
      </c>
      <c r="N4" s="28">
        <f t="shared" si="5"/>
        <v>0.30662983425414336</v>
      </c>
      <c r="O4" s="32">
        <f t="shared" si="5"/>
        <v>0.33423180592991919</v>
      </c>
      <c r="P4" s="50">
        <f t="shared" si="5"/>
        <v>0.28503562945368177</v>
      </c>
      <c r="Q4" s="50">
        <f t="shared" si="5"/>
        <v>0.20833333333333326</v>
      </c>
      <c r="R4" s="50">
        <f t="shared" ref="R4" si="6">R2/N2-1</f>
        <v>0.24312896405919671</v>
      </c>
      <c r="S4" s="50">
        <f t="shared" ref="S4" si="7">S2/O2-1</f>
        <v>0.18787878787878776</v>
      </c>
      <c r="T4" s="50">
        <f t="shared" ref="T4" si="8">T2/P2-1</f>
        <v>0.22181146025877996</v>
      </c>
      <c r="U4" s="50">
        <f t="shared" ref="U4" si="9">U2/Q2-1</f>
        <v>0.25478927203065127</v>
      </c>
      <c r="W4" s="133" t="s">
        <v>33</v>
      </c>
      <c r="X4" s="28">
        <f>X2/W2-1</f>
        <v>0.85085227272727271</v>
      </c>
      <c r="Y4" s="28">
        <f>Y2/X2-1</f>
        <v>0.3975441289332311</v>
      </c>
      <c r="Z4" s="251">
        <f>Z2/Y2-1</f>
        <v>0.22954420647995599</v>
      </c>
    </row>
    <row r="5" spans="1:29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W5" s="36"/>
      <c r="X5" s="36"/>
      <c r="Y5" s="36"/>
      <c r="Z5" s="252"/>
    </row>
    <row r="6" spans="1:29" x14ac:dyDescent="0.25">
      <c r="B6" s="323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W6" s="36">
        <f>AVERAGE(D6:G6)</f>
        <v>10.175000000000001</v>
      </c>
      <c r="X6" s="36">
        <f>AVERAGE(H6:K6)</f>
        <v>17.5</v>
      </c>
      <c r="Y6" s="36">
        <f>AVERAGE(L6:O6)</f>
        <v>22.375</v>
      </c>
      <c r="Z6" s="3">
        <f>AVERAGE(P6:S6)</f>
        <v>25.524999999999999</v>
      </c>
    </row>
    <row r="7" spans="1:29" x14ac:dyDescent="0.25">
      <c r="B7" s="27" t="s">
        <v>77</v>
      </c>
      <c r="C7" s="24" t="s">
        <v>33</v>
      </c>
      <c r="D7" s="24" t="s">
        <v>33</v>
      </c>
      <c r="E7" s="28">
        <f t="shared" ref="E7:P7" si="10">E6/D6-1</f>
        <v>0.10000000000000009</v>
      </c>
      <c r="F7" s="28">
        <f t="shared" si="10"/>
        <v>9.090909090909105E-2</v>
      </c>
      <c r="G7" s="28">
        <f t="shared" si="10"/>
        <v>1.8518518518518379E-2</v>
      </c>
      <c r="H7" s="28">
        <f t="shared" si="10"/>
        <v>0.20909090909090922</v>
      </c>
      <c r="I7" s="28">
        <f t="shared" si="10"/>
        <v>0.34586466165413521</v>
      </c>
      <c r="J7" s="28">
        <f t="shared" si="10"/>
        <v>7.8212290502793325E-2</v>
      </c>
      <c r="K7" s="28">
        <f t="shared" si="10"/>
        <v>1.0362694300518172E-2</v>
      </c>
      <c r="L7" s="28">
        <f t="shared" si="10"/>
        <v>9.2307692307692424E-2</v>
      </c>
      <c r="M7" s="28">
        <f t="shared" si="10"/>
        <v>9.3896713615022609E-3</v>
      </c>
      <c r="N7" s="28">
        <f t="shared" si="10"/>
        <v>7.441860465116279E-2</v>
      </c>
      <c r="O7" s="28">
        <f t="shared" si="10"/>
        <v>2.1645021645021689E-2</v>
      </c>
      <c r="P7" s="28">
        <f t="shared" si="10"/>
        <v>8.0508474576271194E-2</v>
      </c>
      <c r="Q7" s="28">
        <f t="shared" ref="Q7:R7" si="11">Q6/P6-1</f>
        <v>-5.0980392156862786E-2</v>
      </c>
      <c r="R7" s="28">
        <f t="shared" si="11"/>
        <v>9.0909090909090828E-2</v>
      </c>
      <c r="S7" s="28">
        <f t="shared" ref="S7" si="12">S6/R6-1</f>
        <v>-1.5151515151515138E-2</v>
      </c>
      <c r="T7" s="28">
        <f t="shared" ref="T7" si="13">T6/S6-1</f>
        <v>0.10384615384615392</v>
      </c>
      <c r="W7" s="119" t="s">
        <v>33</v>
      </c>
      <c r="X7" s="119" t="s">
        <v>33</v>
      </c>
      <c r="Y7" s="119" t="s">
        <v>33</v>
      </c>
      <c r="Z7" s="232" t="s">
        <v>33</v>
      </c>
    </row>
    <row r="8" spans="1:29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14">H6/D6-1</f>
        <v>0.47777777777777786</v>
      </c>
      <c r="I8" s="28">
        <f t="shared" si="14"/>
        <v>0.80808080808080796</v>
      </c>
      <c r="J8" s="28">
        <f t="shared" si="14"/>
        <v>0.78703703703703698</v>
      </c>
      <c r="K8" s="32">
        <f t="shared" si="14"/>
        <v>0.77272727272727271</v>
      </c>
      <c r="L8" s="28">
        <f t="shared" si="14"/>
        <v>0.60150375939849621</v>
      </c>
      <c r="M8" s="28">
        <f t="shared" si="14"/>
        <v>0.2011173184357542</v>
      </c>
      <c r="N8" s="28">
        <f t="shared" si="14"/>
        <v>0.19689119170984459</v>
      </c>
      <c r="O8" s="32">
        <f t="shared" si="14"/>
        <v>0.2102564102564104</v>
      </c>
      <c r="P8" s="32">
        <f t="shared" si="14"/>
        <v>0.19718309859154926</v>
      </c>
      <c r="Q8" s="32">
        <f t="shared" ref="Q8:R8" si="15">Q6/M6-1</f>
        <v>0.12558139534883717</v>
      </c>
      <c r="R8" s="32">
        <f t="shared" si="15"/>
        <v>0.14285714285714279</v>
      </c>
      <c r="S8" s="32">
        <f t="shared" ref="S8" si="16">S6/O6-1</f>
        <v>0.10169491525423724</v>
      </c>
      <c r="T8" s="32">
        <f t="shared" ref="T8" si="17">T6/P6-1</f>
        <v>0.12549019607843137</v>
      </c>
      <c r="W8" s="133" t="s">
        <v>33</v>
      </c>
      <c r="X8" s="28">
        <f>X6/W6-1</f>
        <v>0.71990171990171969</v>
      </c>
      <c r="Y8" s="28">
        <f>Y6/X6-1</f>
        <v>0.27857142857142847</v>
      </c>
      <c r="Z8" s="251">
        <f>Z6/Y6-1</f>
        <v>0.1407821229050279</v>
      </c>
    </row>
    <row r="9" spans="1:29" x14ac:dyDescent="0.25">
      <c r="B9" s="27"/>
      <c r="C9" s="24"/>
      <c r="P9" s="49"/>
      <c r="Q9" s="49"/>
      <c r="R9" s="49"/>
      <c r="S9" s="49"/>
      <c r="W9" s="36"/>
      <c r="X9" s="36"/>
      <c r="Y9" s="36"/>
      <c r="Z9" s="252"/>
    </row>
    <row r="10" spans="1:29" x14ac:dyDescent="0.25">
      <c r="B10" s="323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W10" s="36">
        <f>AVERAGE(D10:G10)</f>
        <v>6.9750000000000005</v>
      </c>
      <c r="X10" s="36">
        <f>AVERAGE(H10:K10)</f>
        <v>10.8</v>
      </c>
      <c r="Y10" s="36">
        <f>AVERAGE(L10:O10)</f>
        <v>22</v>
      </c>
      <c r="Z10" s="3">
        <f>AVERAGE(P10:S10)</f>
        <v>30.075000000000003</v>
      </c>
    </row>
    <row r="11" spans="1:29" x14ac:dyDescent="0.25">
      <c r="B11" s="27" t="s">
        <v>79</v>
      </c>
      <c r="C11" s="24" t="s">
        <v>33</v>
      </c>
      <c r="D11" s="24" t="s">
        <v>33</v>
      </c>
      <c r="E11" s="28">
        <f t="shared" ref="E11:P11" si="18">E10/D10-1</f>
        <v>4.6875E-2</v>
      </c>
      <c r="F11" s="28">
        <f t="shared" si="18"/>
        <v>5.9701492537313383E-2</v>
      </c>
      <c r="G11" s="28">
        <f t="shared" si="18"/>
        <v>8.4507042253521236E-2</v>
      </c>
      <c r="H11" s="28">
        <f t="shared" si="18"/>
        <v>0.2597402597402596</v>
      </c>
      <c r="I11" s="28">
        <f t="shared" si="18"/>
        <v>-0.20618556701030921</v>
      </c>
      <c r="J11" s="28">
        <f t="shared" si="18"/>
        <v>0.2597402597402596</v>
      </c>
      <c r="K11" s="28">
        <f t="shared" si="18"/>
        <v>0.65979381443299001</v>
      </c>
      <c r="L11" s="28">
        <f t="shared" si="18"/>
        <v>6.8322981366459423E-2</v>
      </c>
      <c r="M11" s="28">
        <f t="shared" si="18"/>
        <v>0.2441860465116279</v>
      </c>
      <c r="N11" s="28">
        <f t="shared" si="18"/>
        <v>0.11214953271028039</v>
      </c>
      <c r="O11" s="28">
        <f t="shared" si="18"/>
        <v>7.5630252100840289E-2</v>
      </c>
      <c r="P11" s="28">
        <f t="shared" si="18"/>
        <v>0.10546875</v>
      </c>
      <c r="Q11" s="28">
        <f t="shared" ref="Q11:R11" si="19">Q10/P10-1</f>
        <v>-2.1201413427561877E-2</v>
      </c>
      <c r="R11" s="28">
        <f t="shared" si="19"/>
        <v>0.15162454873646203</v>
      </c>
      <c r="S11" s="28">
        <f t="shared" ref="S11" si="20">S10/R10-1</f>
        <v>1.5673981191222541E-2</v>
      </c>
      <c r="T11" s="28">
        <f t="shared" ref="T11" si="21">T10/S10-1</f>
        <v>0.13888888888888884</v>
      </c>
      <c r="W11" s="119" t="s">
        <v>33</v>
      </c>
      <c r="X11" s="119" t="s">
        <v>33</v>
      </c>
      <c r="Y11" s="119" t="s">
        <v>33</v>
      </c>
      <c r="Z11" s="232" t="s">
        <v>33</v>
      </c>
    </row>
    <row r="12" spans="1:29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22">H10/D10-1</f>
        <v>0.51562499999999978</v>
      </c>
      <c r="I12" s="28">
        <f t="shared" si="22"/>
        <v>0.14925373134328357</v>
      </c>
      <c r="J12" s="28">
        <f t="shared" si="22"/>
        <v>0.36619718309859151</v>
      </c>
      <c r="K12" s="32">
        <f t="shared" si="22"/>
        <v>1.0909090909090908</v>
      </c>
      <c r="L12" s="28">
        <f t="shared" si="22"/>
        <v>0.77319587628865993</v>
      </c>
      <c r="M12" s="28">
        <f t="shared" si="22"/>
        <v>1.779220779220779</v>
      </c>
      <c r="N12" s="28">
        <f t="shared" si="22"/>
        <v>1.4536082474226806</v>
      </c>
      <c r="O12" s="32">
        <f t="shared" si="22"/>
        <v>0.59006211180124213</v>
      </c>
      <c r="P12" s="32">
        <f t="shared" si="22"/>
        <v>0.64534883720930236</v>
      </c>
      <c r="Q12" s="32">
        <f t="shared" ref="Q12:R12" si="23">Q10/M10-1</f>
        <v>0.29439252336448596</v>
      </c>
      <c r="R12" s="32">
        <f t="shared" si="23"/>
        <v>0.34033613445378141</v>
      </c>
      <c r="S12" s="32">
        <f t="shared" ref="S12" si="24">S10/O10-1</f>
        <v>0.26562499999999978</v>
      </c>
      <c r="T12" s="32">
        <f t="shared" ref="T12" si="25">T10/P10-1</f>
        <v>0.30388692579505294</v>
      </c>
      <c r="W12" s="133" t="s">
        <v>33</v>
      </c>
      <c r="X12" s="28">
        <f>X10/W10-1</f>
        <v>0.54838709677419351</v>
      </c>
      <c r="Y12" s="28">
        <f>Y10/X10-1</f>
        <v>1.0370370370370368</v>
      </c>
      <c r="Z12" s="251">
        <f>Z10/Y10-1</f>
        <v>0.36704545454545467</v>
      </c>
    </row>
    <row r="13" spans="1:29" x14ac:dyDescent="0.25">
      <c r="B13" s="27"/>
      <c r="P13" s="49"/>
      <c r="Q13" s="49"/>
      <c r="R13" s="49"/>
      <c r="S13" s="49"/>
      <c r="W13" s="36"/>
      <c r="X13" s="36"/>
      <c r="Y13" s="36"/>
    </row>
    <row r="14" spans="1:29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W14" s="120">
        <f>AVERAGE(D14:G14)</f>
        <v>3413.25</v>
      </c>
      <c r="X14" s="120">
        <f>AVERAGE(K14:N14)</f>
        <v>9756.5</v>
      </c>
      <c r="Y14" s="120">
        <f>AVERAGE(L14:O14)</f>
        <v>10353.5</v>
      </c>
      <c r="Z14" s="253">
        <f>AVERAGE(P14:S14)</f>
        <v>12560.04</v>
      </c>
    </row>
    <row r="15" spans="1:29" x14ac:dyDescent="0.25">
      <c r="B15" s="27" t="s">
        <v>84</v>
      </c>
      <c r="C15" s="24" t="s">
        <v>33</v>
      </c>
      <c r="D15" s="28">
        <f t="shared" ref="D15:P15" si="26">D14/C14-1</f>
        <v>0.17549407114624516</v>
      </c>
      <c r="E15" s="28">
        <f t="shared" si="26"/>
        <v>9.2131809011432475E-2</v>
      </c>
      <c r="F15" s="28">
        <f t="shared" si="26"/>
        <v>0.14839901477832518</v>
      </c>
      <c r="G15" s="28">
        <f t="shared" si="26"/>
        <v>-7.7747989276139018E-3</v>
      </c>
      <c r="H15" s="28">
        <f t="shared" si="26"/>
        <v>0.31721156444204279</v>
      </c>
      <c r="I15" s="28">
        <f t="shared" si="26"/>
        <v>0.76123076923076916</v>
      </c>
      <c r="J15" s="28">
        <f t="shared" si="26"/>
        <v>1.455858374097363E-2</v>
      </c>
      <c r="K15" s="28">
        <f t="shared" si="26"/>
        <v>-3.2258064516129004E-2</v>
      </c>
      <c r="L15" s="28">
        <f t="shared" si="26"/>
        <v>0.14756820877817312</v>
      </c>
      <c r="M15" s="28">
        <f t="shared" si="26"/>
        <v>6.6156708703741796E-3</v>
      </c>
      <c r="N15" s="28">
        <f t="shared" si="26"/>
        <v>0.14849044978435</v>
      </c>
      <c r="O15" s="28">
        <f t="shared" si="26"/>
        <v>-3.272532188841204E-2</v>
      </c>
      <c r="P15" s="28">
        <f t="shared" si="26"/>
        <v>0.12000000000000011</v>
      </c>
      <c r="Q15" s="28">
        <f t="shared" ref="Q15" si="27">Q14/P14-1</f>
        <v>-1.5859810368961891E-2</v>
      </c>
      <c r="R15" s="28">
        <f t="shared" ref="R15" si="28">R14/Q14-1</f>
        <v>0.12378396511237844</v>
      </c>
      <c r="S15" s="28">
        <f t="shared" ref="S15" si="29">S14/R14-1</f>
        <v>-4.4776119402985093E-2</v>
      </c>
      <c r="T15" s="28">
        <f t="shared" ref="T15" si="30">T14/S14-1</f>
        <v>0.1328125</v>
      </c>
      <c r="U15" s="28">
        <f t="shared" ref="U15" si="31">U14/T14-1</f>
        <v>-3.4482758620689613E-2</v>
      </c>
      <c r="W15" s="119" t="s">
        <v>33</v>
      </c>
      <c r="X15" s="119" t="s">
        <v>33</v>
      </c>
      <c r="Y15" s="119" t="s">
        <v>33</v>
      </c>
      <c r="Z15" s="232" t="s">
        <v>33</v>
      </c>
    </row>
    <row r="16" spans="1:29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32">G14/C14-1</f>
        <v>0.46284584980237153</v>
      </c>
      <c r="H16" s="28">
        <f t="shared" si="32"/>
        <v>0.63920645595158043</v>
      </c>
      <c r="I16" s="28">
        <f t="shared" si="32"/>
        <v>1.6434729064039408</v>
      </c>
      <c r="J16" s="28">
        <f t="shared" si="32"/>
        <v>1.3353887399463806</v>
      </c>
      <c r="K16" s="32">
        <f t="shared" si="32"/>
        <v>1.2777627668197784</v>
      </c>
      <c r="L16" s="28">
        <f t="shared" si="32"/>
        <v>0.98441025641025637</v>
      </c>
      <c r="M16" s="28">
        <f t="shared" si="32"/>
        <v>0.13417190775681331</v>
      </c>
      <c r="N16" s="28">
        <f t="shared" si="32"/>
        <v>0.28389392721845952</v>
      </c>
      <c r="O16" s="32">
        <f t="shared" si="32"/>
        <v>0.28327402135231328</v>
      </c>
      <c r="P16" s="121">
        <f t="shared" si="32"/>
        <v>0.25244573082489175</v>
      </c>
      <c r="Q16" s="121">
        <f t="shared" ref="Q16" si="33">Q14/M14-1</f>
        <v>0.22448141302115432</v>
      </c>
      <c r="R16" s="121">
        <f t="shared" ref="R16" si="34">R14/N14-1</f>
        <v>0.198140200286123</v>
      </c>
      <c r="S16" s="121">
        <f t="shared" ref="S16" si="35">S14/O14-1</f>
        <v>0.1832131632464411</v>
      </c>
      <c r="T16" s="121">
        <f t="shared" ref="T16" si="36">T14/P14-1</f>
        <v>0.19674880490188285</v>
      </c>
      <c r="U16" s="121">
        <f t="shared" ref="U16" si="37">U14/Q14-1</f>
        <v>0.17410265011741033</v>
      </c>
      <c r="W16" s="133" t="s">
        <v>33</v>
      </c>
      <c r="X16" s="28">
        <f>X14/W14-1</f>
        <v>1.8584193950047609</v>
      </c>
      <c r="Y16" s="28">
        <f>Y14/X14-1</f>
        <v>6.1189975913493511E-2</v>
      </c>
      <c r="Z16" s="251">
        <f>Z14/Y14-1</f>
        <v>0.21312020089824713</v>
      </c>
    </row>
    <row r="17" spans="1:25" x14ac:dyDescent="0.25">
      <c r="P17" s="49"/>
      <c r="Q17" s="49"/>
      <c r="R17" s="49"/>
      <c r="S17" s="49"/>
    </row>
    <row r="18" spans="1:25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2">
        <v>11.7</v>
      </c>
      <c r="U18" s="22">
        <v>11.92</v>
      </c>
      <c r="Y18" s="120"/>
    </row>
    <row r="19" spans="1:25" x14ac:dyDescent="0.25">
      <c r="A19" s="30" t="s">
        <v>175</v>
      </c>
      <c r="B19" s="136" t="s">
        <v>174</v>
      </c>
      <c r="C19" s="137">
        <f t="shared" ref="C19:O19" si="38">C2*C18</f>
        <v>143.02799999999999</v>
      </c>
      <c r="D19" s="137">
        <f t="shared" si="38"/>
        <v>141.88400000000001</v>
      </c>
      <c r="E19" s="137">
        <f t="shared" si="38"/>
        <v>150.13800000000001</v>
      </c>
      <c r="F19" s="137">
        <f t="shared" si="38"/>
        <v>165.6</v>
      </c>
      <c r="G19" s="137">
        <f t="shared" si="38"/>
        <v>236.267</v>
      </c>
      <c r="H19" s="137">
        <f t="shared" si="38"/>
        <v>249.68800000000002</v>
      </c>
      <c r="I19" s="137">
        <f t="shared" si="38"/>
        <v>494.654</v>
      </c>
      <c r="J19" s="137">
        <f t="shared" si="38"/>
        <v>497.02600000000007</v>
      </c>
      <c r="K19" s="137">
        <f t="shared" si="38"/>
        <v>641.83000000000004</v>
      </c>
      <c r="L19" s="137">
        <f t="shared" si="38"/>
        <v>651.70800000000008</v>
      </c>
      <c r="M19" s="137">
        <f t="shared" si="38"/>
        <v>665.7120000000001</v>
      </c>
      <c r="N19" s="137">
        <f t="shared" si="38"/>
        <v>638.077</v>
      </c>
      <c r="O19" s="137">
        <f t="shared" si="38"/>
        <v>770.22</v>
      </c>
      <c r="P19" s="137">
        <f>P2*P18</f>
        <v>631.34699999999998</v>
      </c>
      <c r="Q19" s="137">
        <f>Q2*Q18</f>
        <v>639.45000000000005</v>
      </c>
      <c r="R19" s="137">
        <f t="shared" ref="R19:U19" si="39">R2*R18</f>
        <v>702.07199999999989</v>
      </c>
      <c r="S19" s="137">
        <f t="shared" si="39"/>
        <v>899.05199999999991</v>
      </c>
      <c r="T19" s="137">
        <f t="shared" si="39"/>
        <v>773.36999999999989</v>
      </c>
      <c r="U19" s="137">
        <f t="shared" si="39"/>
        <v>780.76</v>
      </c>
      <c r="Y19" s="120"/>
    </row>
    <row r="20" spans="1:25" x14ac:dyDescent="0.25">
      <c r="A20" s="30"/>
      <c r="B20" s="168" t="s">
        <v>202</v>
      </c>
      <c r="C20" s="24" t="s">
        <v>33</v>
      </c>
      <c r="D20" s="169">
        <f t="shared" ref="D20:P20" si="40">D18/C18-1</f>
        <v>-0.13984674329501912</v>
      </c>
      <c r="E20" s="169">
        <f t="shared" si="40"/>
        <v>-2.2271714922049157E-2</v>
      </c>
      <c r="F20" s="169">
        <f t="shared" si="40"/>
        <v>2.5056947608200542E-2</v>
      </c>
      <c r="G20" s="169">
        <f t="shared" si="40"/>
        <v>0.37444444444444436</v>
      </c>
      <c r="H20" s="169">
        <f t="shared" si="40"/>
        <v>-0.14470493128536777</v>
      </c>
      <c r="I20" s="169">
        <f t="shared" si="40"/>
        <v>0.39981096408317573</v>
      </c>
      <c r="J20" s="169">
        <f t="shared" si="40"/>
        <v>-7.2923700202565889E-2</v>
      </c>
      <c r="K20" s="169">
        <f t="shared" si="40"/>
        <v>0.26001456664238898</v>
      </c>
      <c r="L20" s="169">
        <f t="shared" si="40"/>
        <v>-0.10520231213872833</v>
      </c>
      <c r="M20" s="169">
        <f t="shared" si="40"/>
        <v>-4.5219638242893767E-3</v>
      </c>
      <c r="N20" s="169">
        <f t="shared" si="40"/>
        <v>-0.12459441920830627</v>
      </c>
      <c r="O20" s="169">
        <f t="shared" si="40"/>
        <v>0.15344699777613058</v>
      </c>
      <c r="P20" s="169">
        <f t="shared" si="40"/>
        <v>-0.25</v>
      </c>
      <c r="Q20" s="169">
        <f>Q18/P18-1</f>
        <v>4.9700085689802886E-2</v>
      </c>
      <c r="R20" s="169">
        <f t="shared" ref="R20" si="41">R18/Q18-1</f>
        <v>-2.5306122448979673E-2</v>
      </c>
      <c r="S20" s="275">
        <f t="shared" ref="S20" si="42">S18/R18-1</f>
        <v>0.28056951423785592</v>
      </c>
      <c r="T20" s="275">
        <f t="shared" ref="T20" si="43">T18/S18-1</f>
        <v>-0.23479398299542187</v>
      </c>
      <c r="U20" s="275">
        <f t="shared" ref="U20" si="44">U18/T18-1</f>
        <v>1.8803418803418959E-2</v>
      </c>
      <c r="Y20" s="120"/>
    </row>
    <row r="21" spans="1:25" x14ac:dyDescent="0.25">
      <c r="A21" s="30"/>
      <c r="B21" s="168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9">
        <f t="shared" ref="G21:P21" si="45">G18/C18-1</f>
        <v>0.18486590038314166</v>
      </c>
      <c r="H21" s="169">
        <f t="shared" si="45"/>
        <v>0.17817371937639193</v>
      </c>
      <c r="I21" s="169">
        <f t="shared" si="45"/>
        <v>0.68678815489749456</v>
      </c>
      <c r="J21" s="169">
        <f t="shared" si="45"/>
        <v>0.52555555555555555</v>
      </c>
      <c r="K21" s="169">
        <f t="shared" si="45"/>
        <v>0.39854486661277289</v>
      </c>
      <c r="L21" s="169">
        <f t="shared" si="45"/>
        <v>0.46313799621928164</v>
      </c>
      <c r="M21" s="169">
        <f t="shared" si="45"/>
        <v>4.0513166779203136E-2</v>
      </c>
      <c r="N21" s="169">
        <f t="shared" si="45"/>
        <v>-1.7479970866715266E-2</v>
      </c>
      <c r="O21" s="169">
        <f t="shared" si="45"/>
        <v>-0.10057803468208093</v>
      </c>
      <c r="P21" s="169">
        <f t="shared" si="45"/>
        <v>-0.24612403100775193</v>
      </c>
      <c r="Q21" s="169">
        <f>Q18/M18-1</f>
        <v>-0.20506164828033746</v>
      </c>
      <c r="R21" s="169">
        <f t="shared" ref="R21" si="46">R18/N18-1</f>
        <v>-0.11489992587101561</v>
      </c>
      <c r="S21" s="275">
        <f t="shared" ref="S21" si="47">S18/O18-1</f>
        <v>-1.7352185089974381E-2</v>
      </c>
      <c r="T21" s="275">
        <f t="shared" ref="T21" si="48">T18/P18-1</f>
        <v>2.5706940874035134E-3</v>
      </c>
      <c r="U21" s="275">
        <f t="shared" ref="U21" si="49">U18/Q18-1</f>
        <v>-2.6938775510204072E-2</v>
      </c>
      <c r="Y21" s="120"/>
    </row>
    <row r="22" spans="1:25" x14ac:dyDescent="0.25">
      <c r="P22" s="49"/>
      <c r="Q22" s="49"/>
      <c r="R22" s="49"/>
      <c r="S22" s="49"/>
    </row>
    <row r="24" spans="1:25" x14ac:dyDescent="0.25">
      <c r="B24" s="101"/>
      <c r="P24" s="102"/>
      <c r="Q24" s="102"/>
      <c r="R24" s="102"/>
      <c r="S24" s="102"/>
    </row>
  </sheetData>
  <phoneticPr fontId="36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W2:Y16 Z2:Z19" formulaRange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George</cp:lastModifiedBy>
  <dcterms:created xsi:type="dcterms:W3CDTF">2022-02-21T22:04:54Z</dcterms:created>
  <dcterms:modified xsi:type="dcterms:W3CDTF">2023-08-11T19:07:13Z</dcterms:modified>
</cp:coreProperties>
</file>