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D29C5BA-E703-4191-861A-F9ED6600E468}" xr6:coauthVersionLast="47" xr6:coauthVersionMax="47" xr10:uidLastSave="{00000000-0000-0000-0000-000000000000}"/>
  <bookViews>
    <workbookView xWindow="-120" yWindow="-120" windowWidth="29040" windowHeight="15720" activeTab="1" xr2:uid="{E461C7AA-D693-45DC-846F-4B1D3C8E259B}"/>
  </bookViews>
  <sheets>
    <sheet name="Main" sheetId="1" r:id="rId1"/>
    <sheet name="Financial Model" sheetId="2" r:id="rId2"/>
    <sheet name="Substantial Holdings" sheetId="3" r:id="rId3"/>
    <sheet name="Historical Proje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2" l="1"/>
  <c r="C7" i="1"/>
  <c r="R4" i="2" l="1"/>
  <c r="I51" i="2" l="1"/>
  <c r="I41" i="2"/>
  <c r="I28" i="2"/>
  <c r="I56" i="2" l="1"/>
  <c r="I57" i="2" s="1"/>
  <c r="C38" i="1" s="1"/>
  <c r="I54" i="2"/>
  <c r="D56" i="2"/>
  <c r="R20" i="2" l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Q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Q51" i="2"/>
  <c r="Q54" i="2" s="1"/>
  <c r="H54" i="2" s="1"/>
  <c r="Q41" i="2"/>
  <c r="H17" i="2"/>
  <c r="H12" i="2"/>
  <c r="H11" i="2"/>
  <c r="H10" i="2"/>
  <c r="H20" i="2"/>
  <c r="H9" i="2"/>
  <c r="H8" i="2"/>
  <c r="H6" i="2"/>
  <c r="H5" i="2"/>
  <c r="H4" i="2"/>
  <c r="I27" i="2" s="1"/>
  <c r="Q15" i="2"/>
  <c r="H15" i="2" s="1"/>
  <c r="Q13" i="2"/>
  <c r="Q7" i="2"/>
  <c r="H27" i="2" l="1"/>
  <c r="H41" i="2"/>
  <c r="Q56" i="2"/>
  <c r="Q57" i="2" s="1"/>
  <c r="H7" i="2"/>
  <c r="H51" i="2"/>
  <c r="H13" i="2"/>
  <c r="Q14" i="2"/>
  <c r="Q22" i="2"/>
  <c r="F10" i="2"/>
  <c r="Q23" i="2" l="1"/>
  <c r="Q68" i="2"/>
  <c r="H14" i="2"/>
  <c r="Q16" i="2"/>
  <c r="Q25" i="2" s="1"/>
  <c r="H56" i="2"/>
  <c r="H57" i="2" s="1"/>
  <c r="I7" i="2"/>
  <c r="I14" i="2" s="1"/>
  <c r="I68" i="2" s="1"/>
  <c r="C42" i="1" s="1"/>
  <c r="H22" i="2"/>
  <c r="H16" i="2"/>
  <c r="R10" i="2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Q18" i="2" l="1"/>
  <c r="Q19" i="2" s="1"/>
  <c r="H23" i="2"/>
  <c r="I23" i="2"/>
  <c r="I16" i="2"/>
  <c r="H25" i="2"/>
  <c r="H18" i="2"/>
  <c r="H19" i="2" s="1"/>
  <c r="Q24" i="2" l="1"/>
  <c r="I25" i="2"/>
  <c r="I18" i="2"/>
  <c r="H24" i="2"/>
  <c r="AE28" i="2"/>
  <c r="R15" i="2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R12" i="2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I29" i="2" l="1"/>
  <c r="I19" i="2"/>
  <c r="C37" i="1" s="1"/>
  <c r="I24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22" i="2"/>
  <c r="F22" i="2"/>
  <c r="F14" i="2"/>
  <c r="O51" i="2"/>
  <c r="O54" i="2" s="1"/>
  <c r="O41" i="2"/>
  <c r="O56" i="2" s="1"/>
  <c r="O57" i="2" s="1"/>
  <c r="P51" i="2"/>
  <c r="P54" i="2" s="1"/>
  <c r="P41" i="2"/>
  <c r="P56" i="2" s="1"/>
  <c r="P57" i="2" s="1"/>
  <c r="F23" i="2" l="1"/>
  <c r="D16" i="2"/>
  <c r="D18" i="2" s="1"/>
  <c r="D23" i="2"/>
  <c r="F16" i="2"/>
  <c r="F25" i="2" s="1"/>
  <c r="D25" i="2"/>
  <c r="P28" i="2"/>
  <c r="O28" i="2"/>
  <c r="N13" i="2"/>
  <c r="N7" i="2"/>
  <c r="F18" i="2" l="1"/>
  <c r="D24" i="2"/>
  <c r="D19" i="2"/>
  <c r="N14" i="2"/>
  <c r="N16" i="2" s="1"/>
  <c r="N22" i="2"/>
  <c r="C13" i="2"/>
  <c r="C7" i="2"/>
  <c r="C22" i="2" s="1"/>
  <c r="G28" i="2"/>
  <c r="F30" i="2" l="1"/>
  <c r="H30" i="2"/>
  <c r="F19" i="2"/>
  <c r="F24" i="2"/>
  <c r="N23" i="2"/>
  <c r="N18" i="2"/>
  <c r="N19" i="2" s="1"/>
  <c r="N25" i="2"/>
  <c r="C14" i="2"/>
  <c r="D68" i="2" s="1"/>
  <c r="N24" i="2" l="1"/>
  <c r="C23" i="2"/>
  <c r="C16" i="2"/>
  <c r="C18" i="2" s="1"/>
  <c r="E13" i="2"/>
  <c r="E7" i="2"/>
  <c r="E22" i="2" s="1"/>
  <c r="G13" i="2"/>
  <c r="O13" i="2"/>
  <c r="P13" i="2"/>
  <c r="G7" i="2"/>
  <c r="G22" i="2" s="1"/>
  <c r="O7" i="2"/>
  <c r="O22" i="2" s="1"/>
  <c r="P7" i="2"/>
  <c r="P22" i="2" s="1"/>
  <c r="C19" i="2" l="1"/>
  <c r="D29" i="2"/>
  <c r="R13" i="2"/>
  <c r="S13" i="2" s="1"/>
  <c r="C25" i="2"/>
  <c r="E14" i="2"/>
  <c r="G14" i="2"/>
  <c r="P14" i="2"/>
  <c r="P16" i="2" s="1"/>
  <c r="P18" i="2" s="1"/>
  <c r="O14" i="2"/>
  <c r="G68" i="2" l="1"/>
  <c r="H68" i="2"/>
  <c r="E68" i="2"/>
  <c r="F68" i="2"/>
  <c r="Q30" i="2"/>
  <c r="T13" i="2"/>
  <c r="P19" i="2"/>
  <c r="P24" i="2"/>
  <c r="C24" i="2"/>
  <c r="E23" i="2"/>
  <c r="E16" i="2"/>
  <c r="E18" i="2" s="1"/>
  <c r="G16" i="2"/>
  <c r="G18" i="2" s="1"/>
  <c r="G23" i="2"/>
  <c r="P23" i="2"/>
  <c r="P25" i="2"/>
  <c r="O23" i="2"/>
  <c r="O16" i="2"/>
  <c r="O18" i="2" s="1"/>
  <c r="O30" i="2" s="1"/>
  <c r="H29" i="2" l="1"/>
  <c r="I30" i="2"/>
  <c r="U13" i="2"/>
  <c r="P30" i="2"/>
  <c r="G19" i="2"/>
  <c r="G29" i="2"/>
  <c r="G30" i="2"/>
  <c r="E19" i="2"/>
  <c r="E30" i="2"/>
  <c r="E29" i="2"/>
  <c r="F29" i="2"/>
  <c r="O19" i="2"/>
  <c r="E25" i="2"/>
  <c r="G25" i="2"/>
  <c r="O25" i="2"/>
  <c r="V13" i="2" l="1"/>
  <c r="E24" i="2"/>
  <c r="G24" i="2"/>
  <c r="O24" i="2"/>
  <c r="W13" i="2" l="1"/>
  <c r="C8" i="1"/>
  <c r="C39" i="1" s="1"/>
  <c r="X13" i="2" l="1"/>
  <c r="C11" i="1"/>
  <c r="AE25" i="2" s="1"/>
  <c r="C12" i="1"/>
  <c r="C41" i="1" l="1"/>
  <c r="C40" i="1"/>
  <c r="Y13" i="2"/>
  <c r="Z13" i="2" l="1"/>
  <c r="AA13" i="2" l="1"/>
  <c r="AB13" i="2" l="1"/>
  <c r="S4" i="2"/>
  <c r="R7" i="2"/>
  <c r="R14" i="2" s="1"/>
  <c r="R22" i="2"/>
  <c r="R28" i="2"/>
  <c r="R5" i="2"/>
  <c r="S7" i="2" l="1"/>
  <c r="S22" i="2" s="1"/>
  <c r="S28" i="2"/>
  <c r="T4" i="2"/>
  <c r="R23" i="2"/>
  <c r="R16" i="2"/>
  <c r="T7" i="2"/>
  <c r="S14" i="2" l="1"/>
  <c r="S23" i="2" s="1"/>
  <c r="S5" i="2"/>
  <c r="U4" i="2"/>
  <c r="T28" i="2"/>
  <c r="R18" i="2"/>
  <c r="R25" i="2"/>
  <c r="T22" i="2"/>
  <c r="T14" i="2"/>
  <c r="T5" i="2"/>
  <c r="S16" i="2" l="1"/>
  <c r="S18" i="2" s="1"/>
  <c r="U28" i="2"/>
  <c r="U7" i="2"/>
  <c r="V4" i="2"/>
  <c r="T23" i="2"/>
  <c r="T16" i="2"/>
  <c r="R19" i="2"/>
  <c r="R24" i="2"/>
  <c r="S25" i="2" l="1"/>
  <c r="V28" i="2"/>
  <c r="V7" i="2"/>
  <c r="W4" i="2"/>
  <c r="U5" i="2"/>
  <c r="U14" i="2"/>
  <c r="U22" i="2"/>
  <c r="T25" i="2"/>
  <c r="T18" i="2"/>
  <c r="S19" i="2"/>
  <c r="S24" i="2"/>
  <c r="W28" i="2" l="1"/>
  <c r="X4" i="2"/>
  <c r="W7" i="2"/>
  <c r="U23" i="2"/>
  <c r="U16" i="2"/>
  <c r="V14" i="2"/>
  <c r="V5" i="2"/>
  <c r="V22" i="2"/>
  <c r="T19" i="2"/>
  <c r="T24" i="2"/>
  <c r="V16" i="2" l="1"/>
  <c r="V23" i="2"/>
  <c r="U25" i="2"/>
  <c r="U18" i="2"/>
  <c r="W14" i="2"/>
  <c r="W22" i="2"/>
  <c r="W5" i="2"/>
  <c r="X28" i="2"/>
  <c r="Y4" i="2"/>
  <c r="X7" i="2"/>
  <c r="X5" i="2" s="1"/>
  <c r="W16" i="2" l="1"/>
  <c r="W23" i="2"/>
  <c r="Y28" i="2"/>
  <c r="Y7" i="2"/>
  <c r="Z4" i="2"/>
  <c r="V25" i="2"/>
  <c r="V18" i="2"/>
  <c r="U24" i="2"/>
  <c r="U19" i="2"/>
  <c r="X22" i="2"/>
  <c r="X14" i="2"/>
  <c r="V24" i="2" l="1"/>
  <c r="V19" i="2"/>
  <c r="X16" i="2"/>
  <c r="X23" i="2"/>
  <c r="W25" i="2"/>
  <c r="W18" i="2"/>
  <c r="Z28" i="2"/>
  <c r="AA4" i="2"/>
  <c r="Z7" i="2"/>
  <c r="Y22" i="2"/>
  <c r="Y14" i="2"/>
  <c r="Y5" i="2"/>
  <c r="Z22" i="2" l="1"/>
  <c r="Z14" i="2"/>
  <c r="Z5" i="2"/>
  <c r="W24" i="2"/>
  <c r="W19" i="2"/>
  <c r="AA28" i="2"/>
  <c r="AA7" i="2"/>
  <c r="AA5" i="2" s="1"/>
  <c r="AB4" i="2"/>
  <c r="Y23" i="2"/>
  <c r="Y16" i="2"/>
  <c r="X18" i="2"/>
  <c r="X25" i="2"/>
  <c r="Z23" i="2" l="1"/>
  <c r="Z16" i="2"/>
  <c r="AB28" i="2"/>
  <c r="AB7" i="2"/>
  <c r="AA22" i="2"/>
  <c r="AA14" i="2"/>
  <c r="AB5" i="2"/>
  <c r="X19" i="2"/>
  <c r="X24" i="2"/>
  <c r="Y25" i="2"/>
  <c r="Y18" i="2"/>
  <c r="AA23" i="2" l="1"/>
  <c r="AA16" i="2"/>
  <c r="Z18" i="2"/>
  <c r="Z25" i="2"/>
  <c r="AB14" i="2"/>
  <c r="AB22" i="2"/>
  <c r="Y19" i="2"/>
  <c r="Y24" i="2"/>
  <c r="AA18" i="2" l="1"/>
  <c r="AA25" i="2"/>
  <c r="AB23" i="2"/>
  <c r="AB16" i="2"/>
  <c r="Z19" i="2"/>
  <c r="Z24" i="2"/>
  <c r="AA24" i="2" l="1"/>
  <c r="AA19" i="2"/>
  <c r="AB18" i="2"/>
  <c r="AB25" i="2"/>
  <c r="AB24" i="2" l="1"/>
  <c r="AC18" i="2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E24" i="2" s="1"/>
  <c r="AE26" i="2" s="1"/>
  <c r="AE27" i="2" s="1"/>
  <c r="AE32" i="2" s="1"/>
  <c r="AB19" i="2"/>
</calcChain>
</file>

<file path=xl/sharedStrings.xml><?xml version="1.0" encoding="utf-8"?>
<sst xmlns="http://schemas.openxmlformats.org/spreadsheetml/2006/main" count="298" uniqueCount="243">
  <si>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</si>
  <si>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</si>
  <si>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</si>
  <si>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</si>
  <si>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</si>
  <si>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</si>
  <si>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</si>
  <si>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</si>
  <si>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</si>
  <si>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</si>
  <si>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</si>
  <si>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</si>
  <si>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</si>
  <si>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</si>
  <si>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</si>
  <si>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</si>
  <si>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</si>
  <si>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</si>
  <si>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</si>
  <si>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</si>
  <si>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</si>
  <si>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</si>
  <si>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</si>
  <si>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</si>
  <si>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</si>
  <si>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</si>
  <si>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</si>
  <si>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</si>
  <si>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</si>
  <si>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</si>
  <si>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</si>
  <si>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</si>
  <si>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</si>
  <si>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</si>
  <si>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</si>
  <si>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</si>
  <si>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</si>
  <si>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</si>
  <si>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</si>
  <si>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</si>
  <si>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</si>
  <si>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</si>
  <si>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</si>
  <si>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</si>
  <si>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</si>
  <si>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</si>
  <si>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</si>
  <si>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</si>
  <si>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</si>
  <si>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</si>
  <si>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</si>
  <si>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</si>
  <si>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</si>
  <si>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</si>
  <si>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</si>
  <si>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</si>
  <si>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</si>
  <si>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</si>
  <si>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</si>
  <si>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</si>
  <si>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</si>
  <si>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</si>
  <si>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</si>
  <si>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</si>
  <si>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</si>
  <si>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</si>
  <si>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</si>
  <si>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</si>
  <si>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</si>
  <si>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</si>
  <si>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</si>
  <si>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</si>
  <si>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</si>
  <si>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</si>
  <si>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</si>
  <si>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</si>
  <si>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</si>
  <si>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</si>
  <si>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</si>
  <si>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</si>
  <si>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</si>
  <si>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</si>
  <si>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</si>
  <si>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</si>
  <si>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</si>
  <si>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</si>
  <si>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</si>
  <si>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</si>
  <si>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</si>
  <si>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</si>
  <si>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</si>
  <si>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</si>
  <si>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</si>
  <si>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</si>
  <si>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</si>
  <si>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</si>
  <si>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</si>
  <si>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</si>
  <si>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</si>
  <si>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</si>
  <si>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</si>
  <si>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</si>
  <si>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</si>
  <si>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</si>
  <si>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</si>
  <si>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</si>
  <si>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</si>
  <si>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</si>
  <si>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</si>
  <si>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</si>
  <si>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</si>
  <si>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</si>
  <si>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</si>
  <si>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</si>
  <si>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</si>
  <si>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</si>
  <si>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</si>
  <si>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</si>
  <si>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</si>
  <si>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</si>
  <si>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</si>
  <si>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</si>
  <si>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</si>
  <si>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</si>
  <si>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</si>
  <si>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</si>
  <si>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</si>
  <si>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</si>
  <si>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</si>
  <si>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</si>
  <si>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</si>
  <si>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</si>
  <si>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</si>
  <si>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</si>
  <si>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</si>
  <si>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</si>
  <si>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</si>
  <si>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</si>
  <si>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</si>
  <si>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</si>
  <si>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</si>
  <si>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</si>
  <si>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</si>
  <si>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</si>
  <si>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</si>
  <si>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</si>
  <si>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</si>
  <si>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</si>
  <si>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</si>
  <si>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</si>
  <si>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</si>
  <si>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</si>
  <si>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</si>
  <si>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</si>
  <si>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</si>
  <si>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</si>
  <si>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</si>
  <si>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</si>
  <si>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</si>
  <si>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</si>
  <si>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</si>
  <si>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</si>
  <si>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</si>
  <si>
    <t>FY22 Results Presentation</t>
  </si>
  <si>
    <t>36% Y/Y revenue growth</t>
  </si>
  <si>
    <t>Soft-launched DNA portfolio in Summer 2022 (Genome Store acq.)</t>
  </si>
  <si>
    <t>D2C is not the aim of MHC, B2B2C distribution network is the goal</t>
  </si>
  <si>
    <t>£0.5m reinvestment into digital platform that came from Nell Health</t>
  </si>
  <si>
    <t xml:space="preserve">Digital platform aims to lock-in long-term testing relationship </t>
  </si>
  <si>
    <t>Over 17.3m tests delivered into the market in FY 2022</t>
  </si>
  <si>
    <t>Wide range of products aiming for Spring 2023 release</t>
  </si>
  <si>
    <t>12 blood &amp; urine tests, 5 DNA products, 6 lateral flow screeners</t>
  </si>
  <si>
    <t>Digital platform built with customer &amp; possibly B2B needs in mind</t>
  </si>
  <si>
    <t>"Looking to launch products this year in a very short space of time"</t>
  </si>
  <si>
    <t>We want to drive marketing &amp; awareness of why tests are important</t>
  </si>
  <si>
    <t>Focused on growing distribution network in the UK</t>
  </si>
  <si>
    <t>"To do that we will grow our team and commercial heads"</t>
  </si>
  <si>
    <t>Also aim to grow B2B channels</t>
  </si>
  <si>
    <t>New product portfolios launch-ready for Q2 2023</t>
  </si>
  <si>
    <t>"Strong cash position so we can fund our own growth"</t>
  </si>
  <si>
    <t>What are you going to do about the share price &amp; shareholder value?</t>
  </si>
  <si>
    <t>"We can't do anything about share price"</t>
  </si>
  <si>
    <t>"We are committed to providing shareholder value"</t>
  </si>
  <si>
    <t>"Strong market presense, expanding team &amp; delivering further growth"</t>
  </si>
  <si>
    <t>"We are already expanding our team this year"</t>
  </si>
  <si>
    <t>"I want to run the business as well as I can"</t>
  </si>
  <si>
    <t>"There are some levers we can use as a Plc and important we consider those"</t>
  </si>
  <si>
    <t>"Share consolodation (reduce volatility), move us out of penny share"</t>
  </si>
  <si>
    <t>"Thinking about how we can really use our cash" [share buyback]</t>
  </si>
  <si>
    <t>"My commitment is always on shareholder value"</t>
  </si>
  <si>
    <t>Adam: "The current share price is effectively the cash we have in the business"</t>
  </si>
  <si>
    <t>Adam: "There are big disparities in the market that hopefully will resolve"</t>
  </si>
  <si>
    <t>Why are the new produts late &amp; where was the explaination to the market?</t>
  </si>
  <si>
    <t>"We are a business 2 business 2 consumer organisation"</t>
  </si>
  <si>
    <t>"Our most effective product launches will always be driven alongside our retailer base"</t>
  </si>
  <si>
    <t>"We are going to work alongside THEIR timescales alongside that"</t>
  </si>
  <si>
    <t>"The kind of partnerships we're looking to work with are extremely considered</t>
  </si>
  <si>
    <t>and researched and that takes time"</t>
  </si>
  <si>
    <t>"We're looking forward to updating shareholders WHEN we can"</t>
  </si>
  <si>
    <t>"The most successful releases will be executed in partnerships"</t>
  </si>
  <si>
    <t>Why is there no marketing and sales strategy for wellness products?</t>
  </si>
  <si>
    <t>"Along the same lines as previous answer"</t>
  </si>
  <si>
    <t>"There is a marketing strategy but NOT in the public domain"</t>
  </si>
  <si>
    <t>"We're building out launch campaigns with the relevant parties"</t>
  </si>
  <si>
    <t>"Essential that we don't burn through cash which can be easily done</t>
  </si>
  <si>
    <t>with pointless marketing such as PPC campaigns"</t>
  </si>
  <si>
    <t>What will be different in regards to release of next line of products?</t>
  </si>
  <si>
    <t>"Original portfolio was a soft launch &amp; were keen to demonstrate</t>
  </si>
  <si>
    <t>ability to bring products to market that they previously announced"</t>
  </si>
  <si>
    <t>"We could have held back but we wanted to show shareholders that</t>
  </si>
  <si>
    <t>we can actually release products"</t>
  </si>
  <si>
    <t>"Always planned to be rolled out with a greater distribution channel"</t>
  </si>
  <si>
    <t>"We put them on the shop window, soft launch with a view to something</t>
  </si>
  <si>
    <t>much bigger"</t>
  </si>
  <si>
    <t>"We have a truly unique offering from LFT to DNA sampling"</t>
  </si>
  <si>
    <t>"We have been building through a retailer partner, really unique"</t>
  </si>
  <si>
    <t>"We're looking to 2023 being the year where this all happens"</t>
  </si>
  <si>
    <t>Competative landscape &amp; MyHealthChecked's USP</t>
  </si>
  <si>
    <t>"It is a busy market out there and a new category for consumers"</t>
  </si>
  <si>
    <t>"As time goes on there will be greater demand but finite number</t>
  </si>
  <si>
    <t>of suppliers who will be successful with that"</t>
  </si>
  <si>
    <t xml:space="preserve">"The winners will be well-tuned into the customer with great </t>
  </si>
  <si>
    <t>digital solutions tailored to the needs and wants of customers"</t>
  </si>
  <si>
    <t>"It is still early-days for us, just the start of our post-COVID strategy"</t>
  </si>
  <si>
    <t>"Quality of our service is really key to us, demonstrated this through</t>
  </si>
  <si>
    <t>COVID. Selected by Lloyds &amp; Boots is evidence of this"</t>
  </si>
  <si>
    <t>Closing Comments</t>
  </si>
  <si>
    <t>"We couldn't be more proud of what we've delivered &amp; the results</t>
  </si>
  <si>
    <t>we do understand the market is tricky &amp; share price is frustrating</t>
  </si>
  <si>
    <t>we feel it all of the time."</t>
  </si>
  <si>
    <t>"We can't control the stock market but we are committed to</t>
  </si>
  <si>
    <t>delivering the best shareholder value that we can"</t>
  </si>
  <si>
    <t>"Really exciting time for consumer healthcare, front and centre</t>
  </si>
  <si>
    <t>with the most important health care retailers in the country"</t>
  </si>
  <si>
    <t>"Continued to be well placed to rolling out the portfolio and</t>
  </si>
  <si>
    <t>building the digital assets &amp; building the team"</t>
  </si>
  <si>
    <t>"Most importantly to get close to our customer to meet their needs"</t>
  </si>
  <si>
    <t>Share Consolodations</t>
  </si>
  <si>
    <t>15:1 consolodation</t>
  </si>
  <si>
    <t>MHC sign 12-month non-exclusive retail contact with Boots for wellness tests</t>
  </si>
  <si>
    <t>15:1 share consolodation approved &amp; undertaken to boost liquidity</t>
  </si>
  <si>
    <t>CFO Nick Edwards leaves MHC after only 15 months in position</t>
  </si>
  <si>
    <t>H123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</si>
</sst>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000"/>
    <numFmt numFmtId="168" formatCode="#,##0.0;[Black]\(#,##0.0\)\ "/>
    <numFmt numFmtId="169" formatCode="#,##0.0_);[Red]\(#,##0.0\)"/>
    <numFmt numFmtId="170" formatCode="0.000"/>
    <numFmt numFmtId="171" formatCode="0.0"/>
    <numFmt numFmtId="172" formatCode="0.0\x"/>
    <numFmt numFmtId="173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5" xfId="0" applyNumberFormat="1" applyFont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7" fontId="1" fillId="0" borderId="0" xfId="0" applyNumberFormat="1" applyFont="1"/>
    <xf numFmtId="0" fontId="0" fillId="6" borderId="0" xfId="0" applyFill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ill="1" applyBorder="1" applyAlignment="1">
      <alignment horizontal="center"/>
    </xf>
    <xf numFmtId="0" fontId="7" fillId="0" borderId="0" xfId="0" applyFont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4" fontId="6" fillId="0" borderId="0" xfId="0" applyNumberFormat="1" applyFont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8" fontId="2" fillId="0" borderId="0" xfId="2" applyNumberFormat="1" applyFont="1"/>
    <xf numFmtId="43" fontId="0" fillId="0" borderId="0" xfId="2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0" fontId="0" fillId="0" borderId="5" xfId="1" applyFont="1" applyFill="1" applyBorder="1" applyAlignment="1">
      <alignment horizontal="right"/>
    </xf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Alignment="1">
      <alignment horizontal="left" indent="1"/>
    </xf>
    <xf numFmtId="0" fontId="0" fillId="6" borderId="7" xfId="0" applyFill="1" applyBorder="1" applyAlignment="1">
      <alignment horizontal="left"/>
    </xf>
    <xf numFmtId="173" fontId="0" fillId="0" borderId="0" xfId="0" applyNumberFormat="1"/>
    <xf numFmtId="2" fontId="2" fillId="0" borderId="0" xfId="0" applyNumberFormat="1" applyFont="1"/>
    <xf numFmtId="0" fontId="0" fillId="6" borderId="0" xfId="0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10" borderId="0" xfId="0" applyFont="1" applyFill="1" applyAlignment="1">
      <alignment horizontal="right"/>
    </xf>
    <xf numFmtId="4" fontId="14" fillId="10" borderId="0" xfId="0" applyNumberFormat="1" applyFont="1" applyFill="1"/>
    <xf numFmtId="4" fontId="13" fillId="10" borderId="0" xfId="3" applyNumberFormat="1" applyFont="1" applyFill="1"/>
    <xf numFmtId="4" fontId="13" fillId="10" borderId="0" xfId="0" applyNumberFormat="1" applyFont="1" applyFill="1"/>
    <xf numFmtId="4" fontId="13" fillId="10" borderId="0" xfId="2" applyNumberFormat="1" applyFont="1" applyFill="1"/>
    <xf numFmtId="4" fontId="14" fillId="10" borderId="0" xfId="2" applyNumberFormat="1" applyFont="1" applyFill="1"/>
    <xf numFmtId="0" fontId="13" fillId="10" borderId="0" xfId="0" applyFont="1" applyFill="1"/>
    <xf numFmtId="9" fontId="13" fillId="10" borderId="0" xfId="3" applyFont="1" applyFill="1"/>
    <xf numFmtId="166" fontId="14" fillId="10" borderId="0" xfId="3" applyNumberFormat="1" applyFont="1" applyFill="1"/>
    <xf numFmtId="166" fontId="13" fillId="10" borderId="0" xfId="3" applyNumberFormat="1" applyFont="1" applyFill="1"/>
    <xf numFmtId="0" fontId="0" fillId="6" borderId="4" xfId="0" applyFill="1" applyBorder="1"/>
    <xf numFmtId="0" fontId="0" fillId="6" borderId="6" xfId="0" applyFill="1" applyBorder="1"/>
    <xf numFmtId="17" fontId="2" fillId="4" borderId="4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indent="1"/>
    </xf>
    <xf numFmtId="0" fontId="15" fillId="6" borderId="4" xfId="0" applyFont="1" applyFill="1" applyBorder="1" applyAlignment="1">
      <alignment horizontal="left" indent="2"/>
    </xf>
    <xf numFmtId="0" fontId="15" fillId="6" borderId="4" xfId="0" applyFont="1" applyFill="1" applyBorder="1"/>
    <xf numFmtId="0" fontId="2" fillId="6" borderId="4" xfId="0" applyFont="1" applyFill="1" applyBorder="1"/>
    <xf numFmtId="17" fontId="0" fillId="7" borderId="6" xfId="0" applyNumberFormat="1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72" fontId="0" fillId="5" borderId="0" xfId="0" applyNumberFormat="1" applyFill="1" applyAlignment="1">
      <alignment horizontal="center"/>
    </xf>
    <xf numFmtId="172" fontId="0" fillId="5" borderId="5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74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75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AC105"/>
  <sheetViews>
    <sheetView topLeftCell="A7" zoomScale="85" zoomScaleNormal="85" workbookViewId="0">
      <selection activeCell="G31" sqref="G31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25" t="s">
        <v>148</v>
      </c>
      <c r="K2" s="126"/>
      <c r="L2" s="127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83" t="s">
        <v>149</v>
      </c>
      <c r="K3" s="128" t="s">
        <v>153</v>
      </c>
      <c r="L3" s="129"/>
    </row>
    <row r="4" spans="1:14" x14ac:dyDescent="0.25">
      <c r="A4" s="1"/>
      <c r="B4" s="1"/>
      <c r="C4" s="1"/>
      <c r="D4" s="1"/>
      <c r="E4" s="1"/>
      <c r="F4" s="1"/>
      <c r="G4" s="1"/>
      <c r="J4" s="83" t="s">
        <v>150</v>
      </c>
      <c r="K4" s="128"/>
      <c r="L4" s="129"/>
    </row>
    <row r="5" spans="1:14" x14ac:dyDescent="0.25">
      <c r="A5" s="1"/>
      <c r="B5" s="125" t="s">
        <v>0</v>
      </c>
      <c r="C5" s="126"/>
      <c r="D5" s="127"/>
      <c r="E5" s="1"/>
      <c r="F5" s="1"/>
      <c r="G5" s="1"/>
      <c r="J5" s="83" t="s">
        <v>154</v>
      </c>
      <c r="K5" s="82" t="s">
        <v>90</v>
      </c>
      <c r="L5" s="97">
        <v>44825</v>
      </c>
    </row>
    <row r="6" spans="1:14" x14ac:dyDescent="0.25">
      <c r="A6" s="1"/>
      <c r="B6" s="4" t="s">
        <v>1</v>
      </c>
      <c r="C6" s="22">
        <v>0.25</v>
      </c>
      <c r="D6" s="5"/>
      <c r="E6" s="1"/>
      <c r="F6" s="1"/>
      <c r="G6" s="1"/>
      <c r="J6" s="84" t="s">
        <v>151</v>
      </c>
      <c r="K6" s="130" t="s">
        <v>152</v>
      </c>
      <c r="L6" s="131"/>
    </row>
    <row r="7" spans="1:14" x14ac:dyDescent="0.25">
      <c r="A7" s="1"/>
      <c r="B7" s="4" t="s">
        <v>2</v>
      </c>
      <c r="C7" s="6">
        <f>780.09/15</f>
        <v>52.006</v>
      </c>
      <c r="D7" s="74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13.0015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</v>
      </c>
      <c r="D9" s="74" t="s">
        <v>90</v>
      </c>
      <c r="E9" s="1"/>
      <c r="F9" s="125" t="s">
        <v>59</v>
      </c>
      <c r="G9" s="126"/>
      <c r="H9" s="126"/>
      <c r="I9" s="126"/>
      <c r="J9" s="126"/>
      <c r="K9" s="126"/>
      <c r="L9" s="126"/>
      <c r="M9" s="126"/>
      <c r="N9" s="127"/>
    </row>
    <row r="10" spans="1:14" x14ac:dyDescent="0.25">
      <c r="A10" s="1"/>
      <c r="B10" s="4" t="s">
        <v>5</v>
      </c>
      <c r="C10" s="6">
        <v>0</v>
      </c>
      <c r="D10" s="74" t="s">
        <v>90</v>
      </c>
      <c r="E10" s="1"/>
      <c r="F10" s="116">
        <v>43770</v>
      </c>
      <c r="G10" s="23" t="s">
        <v>57</v>
      </c>
      <c r="H10" s="23"/>
      <c r="I10" s="23"/>
      <c r="J10" s="23"/>
      <c r="K10" s="23"/>
      <c r="L10" s="23"/>
      <c r="M10" s="23"/>
      <c r="N10" s="24"/>
    </row>
    <row r="11" spans="1:14" x14ac:dyDescent="0.25">
      <c r="A11" s="1"/>
      <c r="B11" s="4" t="s">
        <v>6</v>
      </c>
      <c r="C11" s="6">
        <f>C9-C10</f>
        <v>7</v>
      </c>
      <c r="D11" s="8"/>
      <c r="E11" s="1"/>
      <c r="F11" s="116">
        <v>43891</v>
      </c>
      <c r="G11" s="23" t="s">
        <v>66</v>
      </c>
      <c r="H11" s="23"/>
      <c r="I11" s="23"/>
      <c r="J11" s="23"/>
      <c r="K11" s="23"/>
      <c r="L11" s="23"/>
      <c r="M11" s="23"/>
      <c r="N11" s="24"/>
    </row>
    <row r="12" spans="1:14" x14ac:dyDescent="0.25">
      <c r="A12" s="1"/>
      <c r="B12" s="9" t="s">
        <v>7</v>
      </c>
      <c r="C12" s="10">
        <f>C8-C9+C10</f>
        <v>6.0015000000000001</v>
      </c>
      <c r="D12" s="11"/>
      <c r="E12" s="1"/>
      <c r="F12" s="116">
        <v>44166</v>
      </c>
      <c r="G12" s="23" t="s">
        <v>58</v>
      </c>
      <c r="H12" s="23"/>
      <c r="I12" s="23"/>
      <c r="J12" s="23"/>
      <c r="K12" s="23"/>
      <c r="L12" s="23"/>
      <c r="M12" s="23"/>
      <c r="N12" s="24"/>
    </row>
    <row r="13" spans="1:14" x14ac:dyDescent="0.25">
      <c r="A13" s="1"/>
      <c r="B13" s="1"/>
      <c r="C13" s="1"/>
      <c r="D13" s="1"/>
      <c r="E13" s="1"/>
      <c r="F13" s="116">
        <v>44166</v>
      </c>
      <c r="G13" s="23" t="s">
        <v>133</v>
      </c>
      <c r="H13" s="23"/>
      <c r="I13" s="23"/>
      <c r="J13" s="23"/>
      <c r="K13" s="23"/>
      <c r="L13" s="23"/>
      <c r="M13" s="23"/>
      <c r="N13" s="24"/>
    </row>
    <row r="14" spans="1:14" x14ac:dyDescent="0.25">
      <c r="A14" s="1"/>
      <c r="B14" s="1"/>
      <c r="C14" s="1"/>
      <c r="D14" s="1"/>
      <c r="E14" s="1"/>
      <c r="F14" s="116">
        <v>44197</v>
      </c>
      <c r="G14" s="23" t="s">
        <v>64</v>
      </c>
      <c r="H14" s="23"/>
      <c r="I14" s="23"/>
      <c r="J14" s="23"/>
      <c r="K14" s="23"/>
      <c r="L14" s="23"/>
      <c r="M14" s="23"/>
      <c r="N14" s="24"/>
    </row>
    <row r="15" spans="1:14" x14ac:dyDescent="0.25">
      <c r="A15" s="1"/>
      <c r="B15" s="136" t="s">
        <v>10</v>
      </c>
      <c r="C15" s="126"/>
      <c r="D15" s="127"/>
      <c r="E15" s="1"/>
      <c r="F15" s="116">
        <v>44287</v>
      </c>
      <c r="G15" s="23" t="s">
        <v>98</v>
      </c>
      <c r="H15" s="23"/>
      <c r="I15" s="23"/>
      <c r="J15" s="23"/>
      <c r="K15" s="23"/>
      <c r="L15" s="23"/>
      <c r="M15" s="23"/>
      <c r="N15" s="24"/>
    </row>
    <row r="16" spans="1:14" x14ac:dyDescent="0.25">
      <c r="A16" s="1"/>
      <c r="B16" s="18" t="s">
        <v>11</v>
      </c>
      <c r="C16" s="137" t="s">
        <v>13</v>
      </c>
      <c r="D16" s="138"/>
      <c r="E16" s="1"/>
      <c r="F16" s="116">
        <v>44317</v>
      </c>
      <c r="G16" s="23" t="s">
        <v>99</v>
      </c>
      <c r="H16" s="23"/>
      <c r="I16" s="23"/>
      <c r="J16" s="23"/>
      <c r="K16" s="23"/>
      <c r="L16" s="23"/>
      <c r="M16" s="23"/>
      <c r="N16" s="24"/>
    </row>
    <row r="17" spans="2:29" x14ac:dyDescent="0.25">
      <c r="B17" s="18" t="s">
        <v>12</v>
      </c>
      <c r="C17" s="137" t="s">
        <v>15</v>
      </c>
      <c r="D17" s="138"/>
      <c r="F17" s="116">
        <v>44348</v>
      </c>
      <c r="G17" s="23" t="s">
        <v>100</v>
      </c>
      <c r="H17" s="23"/>
      <c r="I17" s="23"/>
      <c r="J17" s="23"/>
      <c r="K17" s="23"/>
      <c r="L17" s="23"/>
      <c r="M17" s="23"/>
      <c r="N17" s="24"/>
    </row>
    <row r="18" spans="2:29" x14ac:dyDescent="0.25">
      <c r="B18" s="18" t="s">
        <v>14</v>
      </c>
      <c r="C18" s="138"/>
      <c r="D18" s="138"/>
      <c r="F18" s="116">
        <v>44409</v>
      </c>
      <c r="G18" s="23" t="s">
        <v>101</v>
      </c>
      <c r="H18" s="23"/>
      <c r="I18" s="23"/>
      <c r="J18" s="23"/>
      <c r="K18" s="23"/>
      <c r="L18" s="23"/>
      <c r="M18" s="23"/>
      <c r="N18" s="24"/>
    </row>
    <row r="19" spans="2:29" x14ac:dyDescent="0.25">
      <c r="B19" s="18"/>
      <c r="C19" s="138"/>
      <c r="D19" s="138"/>
      <c r="F19" s="116">
        <v>44440</v>
      </c>
      <c r="G19" s="23" t="s">
        <v>102</v>
      </c>
      <c r="H19" s="23"/>
      <c r="I19" s="23"/>
      <c r="J19" s="23"/>
      <c r="K19" s="23"/>
      <c r="L19" s="23"/>
      <c r="M19" s="23"/>
      <c r="N19" s="24"/>
    </row>
    <row r="20" spans="2:29" x14ac:dyDescent="0.25">
      <c r="B20" s="18" t="s">
        <v>52</v>
      </c>
      <c r="C20" s="137" t="s">
        <v>51</v>
      </c>
      <c r="D20" s="138"/>
      <c r="F20" s="116">
        <v>44501</v>
      </c>
      <c r="G20" s="23" t="s">
        <v>147</v>
      </c>
      <c r="H20" s="23"/>
      <c r="I20" s="23"/>
      <c r="J20" s="23"/>
      <c r="K20" s="23"/>
      <c r="L20" s="23"/>
      <c r="M20" s="23"/>
      <c r="N20" s="24"/>
    </row>
    <row r="21" spans="2:29" x14ac:dyDescent="0.25">
      <c r="B21" s="18"/>
      <c r="C21" s="138"/>
      <c r="D21" s="138"/>
      <c r="F21" s="116">
        <v>44652</v>
      </c>
      <c r="G21" s="23" t="s">
        <v>146</v>
      </c>
      <c r="H21" s="23"/>
      <c r="I21" s="23"/>
      <c r="J21" s="23"/>
      <c r="K21" s="23"/>
      <c r="L21" s="23"/>
      <c r="M21" s="23"/>
      <c r="N21" s="24"/>
    </row>
    <row r="22" spans="2:29" x14ac:dyDescent="0.25">
      <c r="B22" s="19"/>
      <c r="C22" s="139"/>
      <c r="D22" s="140"/>
      <c r="F22" s="116">
        <v>44726</v>
      </c>
      <c r="G22" s="23" t="s">
        <v>132</v>
      </c>
      <c r="H22" s="23"/>
      <c r="I22" s="23"/>
      <c r="J22" s="23"/>
      <c r="K22" s="23"/>
      <c r="L22" s="23"/>
      <c r="M22" s="23"/>
      <c r="N22" s="24"/>
    </row>
    <row r="23" spans="2:29" x14ac:dyDescent="0.25">
      <c r="F23" s="116"/>
      <c r="G23" s="78" t="s">
        <v>134</v>
      </c>
      <c r="H23" s="23"/>
      <c r="I23" s="23"/>
      <c r="J23" s="23"/>
      <c r="K23" s="23"/>
      <c r="L23" s="23"/>
      <c r="M23" s="23"/>
      <c r="N23" s="24"/>
    </row>
    <row r="24" spans="2:29" x14ac:dyDescent="0.25">
      <c r="B24" s="125" t="s">
        <v>237</v>
      </c>
      <c r="C24" s="126"/>
      <c r="D24" s="127"/>
      <c r="F24" s="116">
        <v>44743</v>
      </c>
      <c r="G24" s="78" t="s">
        <v>136</v>
      </c>
      <c r="H24" s="23"/>
      <c r="I24" s="23"/>
      <c r="J24" s="23"/>
      <c r="K24" s="23"/>
      <c r="L24" s="23"/>
      <c r="M24" s="23"/>
      <c r="N24" s="24"/>
      <c r="P24" s="125" t="s">
        <v>155</v>
      </c>
      <c r="Q24" s="126"/>
      <c r="R24" s="127"/>
      <c r="W24" s="125" t="s">
        <v>163</v>
      </c>
      <c r="X24" s="126"/>
      <c r="Y24" s="126"/>
      <c r="Z24" s="126"/>
      <c r="AA24" s="126"/>
      <c r="AB24" s="126"/>
      <c r="AC24" s="127"/>
    </row>
    <row r="25" spans="2:29" x14ac:dyDescent="0.25">
      <c r="B25" s="122">
        <v>45047</v>
      </c>
      <c r="C25" s="143" t="s">
        <v>238</v>
      </c>
      <c r="D25" s="140"/>
      <c r="F25" s="116">
        <v>44743</v>
      </c>
      <c r="G25" s="23" t="s">
        <v>139</v>
      </c>
      <c r="H25" s="23"/>
      <c r="I25" s="23"/>
      <c r="J25" s="23"/>
      <c r="K25" s="23"/>
      <c r="L25" s="23"/>
      <c r="M25" s="23"/>
      <c r="N25" s="24"/>
      <c r="P25" s="83" t="s">
        <v>156</v>
      </c>
      <c r="Q25" s="144" t="s">
        <v>152</v>
      </c>
      <c r="R25" s="145"/>
      <c r="W25" s="114" t="s">
        <v>164</v>
      </c>
      <c r="X25" s="23"/>
      <c r="Y25" s="23"/>
      <c r="Z25" s="23"/>
      <c r="AA25" s="23"/>
      <c r="AB25" s="23"/>
      <c r="AC25" s="24"/>
    </row>
    <row r="26" spans="2:29" x14ac:dyDescent="0.25">
      <c r="F26" s="116">
        <v>44774</v>
      </c>
      <c r="G26" s="23" t="s">
        <v>138</v>
      </c>
      <c r="H26" s="23"/>
      <c r="I26" s="23"/>
      <c r="J26" s="23"/>
      <c r="K26" s="23"/>
      <c r="L26" s="23"/>
      <c r="M26" s="23"/>
      <c r="N26" s="24"/>
      <c r="P26" s="83" t="s">
        <v>157</v>
      </c>
      <c r="Q26" s="144" t="s">
        <v>152</v>
      </c>
      <c r="R26" s="145"/>
      <c r="W26" s="114" t="s">
        <v>169</v>
      </c>
      <c r="X26" s="23"/>
      <c r="Y26" s="23"/>
      <c r="Z26" s="23"/>
      <c r="AA26" s="23"/>
      <c r="AB26" s="23"/>
      <c r="AC26" s="24"/>
    </row>
    <row r="27" spans="2:29" x14ac:dyDescent="0.25">
      <c r="B27" s="136" t="s">
        <v>60</v>
      </c>
      <c r="C27" s="126"/>
      <c r="D27" s="127"/>
      <c r="F27" s="116">
        <v>44835</v>
      </c>
      <c r="G27" s="100" t="s">
        <v>158</v>
      </c>
      <c r="H27" s="23"/>
      <c r="I27" s="23"/>
      <c r="J27" s="23"/>
      <c r="K27" s="23"/>
      <c r="L27" s="23"/>
      <c r="M27" s="23"/>
      <c r="N27" s="24"/>
      <c r="P27" s="84"/>
      <c r="Q27" s="146"/>
      <c r="R27" s="124"/>
      <c r="W27" s="114" t="s">
        <v>165</v>
      </c>
      <c r="X27" s="23"/>
      <c r="Y27" s="23"/>
      <c r="Z27" s="23"/>
      <c r="AA27" s="23"/>
      <c r="AB27" s="23"/>
      <c r="AC27" s="24"/>
    </row>
    <row r="28" spans="2:29" x14ac:dyDescent="0.25">
      <c r="B28" s="27">
        <v>43922</v>
      </c>
      <c r="C28" s="137" t="s">
        <v>61</v>
      </c>
      <c r="D28" s="138"/>
      <c r="F28" s="116">
        <v>45047</v>
      </c>
      <c r="G28" s="100" t="s">
        <v>240</v>
      </c>
      <c r="H28" s="23"/>
      <c r="I28" s="23"/>
      <c r="J28" s="23"/>
      <c r="K28" s="23"/>
      <c r="L28" s="23"/>
      <c r="M28" s="23"/>
      <c r="N28" s="24"/>
      <c r="W28" s="114" t="s">
        <v>166</v>
      </c>
      <c r="X28" s="23"/>
      <c r="Y28" s="23"/>
      <c r="Z28" s="23"/>
      <c r="AA28" s="23"/>
      <c r="AB28" s="23"/>
      <c r="AC28" s="24"/>
    </row>
    <row r="29" spans="2:29" x14ac:dyDescent="0.25">
      <c r="B29" s="28">
        <v>44228</v>
      </c>
      <c r="C29" s="139" t="s">
        <v>65</v>
      </c>
      <c r="D29" s="140"/>
      <c r="F29" s="116">
        <v>45047</v>
      </c>
      <c r="G29" s="100" t="s">
        <v>239</v>
      </c>
      <c r="H29" s="23"/>
      <c r="I29" s="23"/>
      <c r="J29" s="23"/>
      <c r="K29" s="23"/>
      <c r="L29" s="23"/>
      <c r="M29" s="23"/>
      <c r="N29" s="24"/>
      <c r="W29" s="114" t="s">
        <v>167</v>
      </c>
      <c r="X29" s="23"/>
      <c r="Y29" s="23"/>
      <c r="Z29" s="23"/>
      <c r="AA29" s="23"/>
      <c r="AB29" s="23"/>
      <c r="AC29" s="24"/>
    </row>
    <row r="30" spans="2:29" x14ac:dyDescent="0.25">
      <c r="F30" s="116">
        <v>45108</v>
      </c>
      <c r="G30" s="100" t="s">
        <v>241</v>
      </c>
      <c r="H30" s="23"/>
      <c r="I30" s="23"/>
      <c r="J30" s="23"/>
      <c r="K30" s="23"/>
      <c r="L30" s="23"/>
      <c r="M30" s="23"/>
      <c r="N30" s="24"/>
      <c r="W30" s="114" t="s">
        <v>168</v>
      </c>
      <c r="X30" s="23"/>
      <c r="Y30" s="23"/>
      <c r="Z30" s="23"/>
      <c r="AA30" s="23"/>
      <c r="AB30" s="23"/>
      <c r="AC30" s="24"/>
    </row>
    <row r="31" spans="2:29" x14ac:dyDescent="0.25">
      <c r="B31" s="136" t="s">
        <v>62</v>
      </c>
      <c r="C31" s="126"/>
      <c r="D31" s="127"/>
      <c r="F31" s="117">
        <v>45139</v>
      </c>
      <c r="G31" s="79"/>
      <c r="H31" s="25"/>
      <c r="I31" s="25"/>
      <c r="J31" s="25"/>
      <c r="K31" s="25"/>
      <c r="L31" s="25"/>
      <c r="M31" s="25"/>
      <c r="N31" s="26"/>
      <c r="W31" s="114" t="s">
        <v>170</v>
      </c>
      <c r="X31" s="23"/>
      <c r="Y31" s="23"/>
      <c r="Z31" s="23"/>
      <c r="AA31" s="23"/>
      <c r="AB31" s="23"/>
      <c r="AC31" s="24"/>
    </row>
    <row r="32" spans="2:29" x14ac:dyDescent="0.25">
      <c r="B32" s="27">
        <v>44136</v>
      </c>
      <c r="C32" s="137" t="s">
        <v>63</v>
      </c>
      <c r="D32" s="138"/>
      <c r="W32" s="119" t="s">
        <v>171</v>
      </c>
      <c r="X32" s="23"/>
      <c r="Y32" s="23"/>
      <c r="Z32" s="23"/>
      <c r="AA32" s="23"/>
      <c r="AB32" s="23"/>
      <c r="AC32" s="24"/>
    </row>
    <row r="33" spans="2:29" x14ac:dyDescent="0.25">
      <c r="B33" s="29">
        <v>44348</v>
      </c>
      <c r="C33" s="139" t="s">
        <v>67</v>
      </c>
      <c r="D33" s="140"/>
      <c r="W33" s="114" t="s">
        <v>172</v>
      </c>
      <c r="X33" s="23"/>
      <c r="Y33" s="23"/>
      <c r="Z33" s="23"/>
      <c r="AA33" s="23"/>
      <c r="AB33" s="23"/>
      <c r="AC33" s="24"/>
    </row>
    <row r="34" spans="2:29" x14ac:dyDescent="0.25">
      <c r="W34" s="114" t="s">
        <v>173</v>
      </c>
      <c r="X34" s="23"/>
      <c r="Y34" s="23"/>
      <c r="Z34" s="23"/>
      <c r="AA34" s="23"/>
      <c r="AB34" s="23"/>
      <c r="AC34" s="24"/>
    </row>
    <row r="35" spans="2:29" x14ac:dyDescent="0.25">
      <c r="W35" s="119" t="s">
        <v>174</v>
      </c>
      <c r="X35" s="23"/>
      <c r="Y35" s="23"/>
      <c r="Z35" s="23"/>
      <c r="AA35" s="23"/>
      <c r="AB35" s="23"/>
      <c r="AC35" s="24"/>
    </row>
    <row r="36" spans="2:29" x14ac:dyDescent="0.25">
      <c r="B36" s="125" t="s">
        <v>140</v>
      </c>
      <c r="C36" s="126"/>
      <c r="D36" s="127"/>
      <c r="F36" s="125" t="s">
        <v>103</v>
      </c>
      <c r="G36" s="126"/>
      <c r="H36" s="126"/>
      <c r="I36" s="126"/>
      <c r="J36" s="126"/>
      <c r="K36" s="126"/>
      <c r="L36" s="126"/>
      <c r="M36" s="126"/>
      <c r="N36" s="126"/>
      <c r="O36" s="127"/>
      <c r="W36" s="114" t="s">
        <v>175</v>
      </c>
      <c r="X36" s="23"/>
      <c r="Y36" s="23"/>
      <c r="Z36" s="23"/>
      <c r="AA36" s="23"/>
      <c r="AB36" s="23"/>
      <c r="AC36" s="24"/>
    </row>
    <row r="37" spans="2:29" x14ac:dyDescent="0.25">
      <c r="B37" s="98" t="s">
        <v>141</v>
      </c>
      <c r="C37" s="141">
        <f>C6/SUM('Financial Model'!H19:I19)</f>
        <v>77.91069966343818</v>
      </c>
      <c r="D37" s="142"/>
      <c r="F37" s="132" t="s">
        <v>104</v>
      </c>
      <c r="G37" s="133"/>
      <c r="H37" s="23" t="s">
        <v>108</v>
      </c>
      <c r="I37" s="23"/>
      <c r="J37" s="23"/>
      <c r="K37" s="23"/>
      <c r="L37" s="23"/>
      <c r="M37" s="23"/>
      <c r="N37" s="23"/>
      <c r="O37" s="24"/>
      <c r="W37" s="119" t="s">
        <v>176</v>
      </c>
      <c r="X37" s="23"/>
      <c r="Y37" s="23"/>
      <c r="Z37" s="23"/>
      <c r="AA37" s="23"/>
      <c r="AB37" s="23"/>
      <c r="AC37" s="24"/>
    </row>
    <row r="38" spans="2:29" x14ac:dyDescent="0.25">
      <c r="B38" s="98" t="s">
        <v>142</v>
      </c>
      <c r="C38" s="141">
        <f>C6/'Financial Model'!I57</f>
        <v>22.868532955350812</v>
      </c>
      <c r="D38" s="142"/>
      <c r="F38" s="132" t="s">
        <v>105</v>
      </c>
      <c r="G38" s="133"/>
      <c r="H38" s="23" t="s">
        <v>109</v>
      </c>
      <c r="I38" s="23"/>
      <c r="J38" s="23"/>
      <c r="K38" s="23"/>
      <c r="L38" s="23"/>
      <c r="M38" s="23"/>
      <c r="N38" s="23"/>
      <c r="O38" s="24"/>
      <c r="W38" s="119" t="s">
        <v>177</v>
      </c>
      <c r="X38" s="23"/>
      <c r="Y38" s="23"/>
      <c r="Z38" s="23"/>
      <c r="AA38" s="23"/>
      <c r="AB38" s="23"/>
      <c r="AC38" s="24"/>
    </row>
    <row r="39" spans="2:29" x14ac:dyDescent="0.25">
      <c r="B39" s="98" t="s">
        <v>159</v>
      </c>
      <c r="C39" s="141">
        <f>C8/SUM('Financial Model'!H4:I4)</f>
        <v>0.5669129764708114</v>
      </c>
      <c r="D39" s="142"/>
      <c r="F39" s="134" t="s">
        <v>106</v>
      </c>
      <c r="G39" s="135"/>
      <c r="H39" s="25" t="s">
        <v>135</v>
      </c>
      <c r="I39" s="25"/>
      <c r="J39" s="25"/>
      <c r="K39" s="25"/>
      <c r="L39" s="25"/>
      <c r="M39" s="25"/>
      <c r="N39" s="25"/>
      <c r="O39" s="26"/>
      <c r="P39" s="75" t="s">
        <v>131</v>
      </c>
      <c r="W39" s="114" t="s">
        <v>178</v>
      </c>
      <c r="X39" s="23"/>
      <c r="Y39" s="23"/>
      <c r="Z39" s="23"/>
      <c r="AA39" s="23"/>
      <c r="AB39" s="23"/>
      <c r="AC39" s="24"/>
    </row>
    <row r="40" spans="2:29" x14ac:dyDescent="0.25">
      <c r="B40" s="98" t="s">
        <v>160</v>
      </c>
      <c r="C40" s="141">
        <f>C12/SUM('Financial Model'!H4:I4)</f>
        <v>0.26168736132673726</v>
      </c>
      <c r="D40" s="142"/>
      <c r="W40" s="120" t="s">
        <v>179</v>
      </c>
      <c r="X40" s="23"/>
      <c r="Y40" s="23"/>
      <c r="Z40" s="23"/>
      <c r="AA40" s="23"/>
      <c r="AB40" s="23"/>
      <c r="AC40" s="24"/>
    </row>
    <row r="41" spans="2:29" x14ac:dyDescent="0.25">
      <c r="B41" s="98" t="s">
        <v>145</v>
      </c>
      <c r="C41" s="141">
        <f>C12/SUM('Financial Model'!H18:I18)</f>
        <v>2.6302503109493607</v>
      </c>
      <c r="D41" s="142"/>
      <c r="W41" s="114"/>
      <c r="X41" s="23"/>
      <c r="Y41" s="23"/>
      <c r="Z41" s="23"/>
      <c r="AA41" s="23"/>
      <c r="AB41" s="23"/>
      <c r="AC41" s="24"/>
    </row>
    <row r="42" spans="2:29" x14ac:dyDescent="0.25">
      <c r="B42" s="99" t="s">
        <v>161</v>
      </c>
      <c r="C42" s="123">
        <f>'Financial Model'!I68</f>
        <v>0.17112763138524958</v>
      </c>
      <c r="D42" s="124"/>
      <c r="W42" s="121" t="s">
        <v>180</v>
      </c>
      <c r="X42" s="23"/>
      <c r="Y42" s="23"/>
      <c r="Z42" s="23"/>
      <c r="AA42" s="23"/>
      <c r="AB42" s="23"/>
      <c r="AC42" s="24"/>
    </row>
    <row r="43" spans="2:29" x14ac:dyDescent="0.25">
      <c r="W43" s="114" t="s">
        <v>181</v>
      </c>
      <c r="X43" s="23"/>
      <c r="Y43" s="23"/>
      <c r="Z43" s="23"/>
      <c r="AA43" s="23"/>
      <c r="AB43" s="23"/>
      <c r="AC43" s="24"/>
    </row>
    <row r="44" spans="2:29" x14ac:dyDescent="0.25">
      <c r="W44" s="114" t="s">
        <v>182</v>
      </c>
      <c r="X44" s="23"/>
      <c r="Y44" s="23"/>
      <c r="Z44" s="23"/>
      <c r="AA44" s="23"/>
      <c r="AB44" s="23"/>
      <c r="AC44" s="24"/>
    </row>
    <row r="45" spans="2:29" x14ac:dyDescent="0.25">
      <c r="W45" s="114" t="s">
        <v>183</v>
      </c>
      <c r="X45" s="23"/>
      <c r="Y45" s="23"/>
      <c r="Z45" s="23"/>
      <c r="AA45" s="23"/>
      <c r="AB45" s="23"/>
      <c r="AC45" s="24"/>
    </row>
    <row r="46" spans="2:29" x14ac:dyDescent="0.25">
      <c r="W46" s="114" t="s">
        <v>184</v>
      </c>
      <c r="X46" s="23"/>
      <c r="Y46" s="23"/>
      <c r="Z46" s="23"/>
      <c r="AA46" s="23"/>
      <c r="AB46" s="23"/>
      <c r="AC46" s="24"/>
    </row>
    <row r="47" spans="2:29" x14ac:dyDescent="0.25">
      <c r="W47" s="114" t="s">
        <v>185</v>
      </c>
      <c r="X47" s="23"/>
      <c r="Y47" s="23"/>
      <c r="Z47" s="23"/>
      <c r="AA47" s="23"/>
      <c r="AB47" s="23"/>
      <c r="AC47" s="24"/>
    </row>
    <row r="48" spans="2:29" x14ac:dyDescent="0.25">
      <c r="W48" s="114" t="s">
        <v>186</v>
      </c>
      <c r="X48" s="23"/>
      <c r="Y48" s="23"/>
      <c r="Z48" s="23"/>
      <c r="AA48" s="23"/>
      <c r="AB48" s="23"/>
      <c r="AC48" s="24"/>
    </row>
    <row r="49" spans="23:29" x14ac:dyDescent="0.25">
      <c r="W49" s="114" t="s">
        <v>187</v>
      </c>
      <c r="X49" s="23"/>
      <c r="Y49" s="23"/>
      <c r="Z49" s="23"/>
      <c r="AA49" s="23"/>
      <c r="AB49" s="23"/>
      <c r="AC49" s="24"/>
    </row>
    <row r="50" spans="23:29" x14ac:dyDescent="0.25">
      <c r="W50" s="114" t="s">
        <v>188</v>
      </c>
      <c r="X50" s="23"/>
      <c r="Y50" s="23"/>
      <c r="Z50" s="23"/>
      <c r="AA50" s="23"/>
      <c r="AB50" s="23"/>
      <c r="AC50" s="24"/>
    </row>
    <row r="51" spans="23:29" x14ac:dyDescent="0.25">
      <c r="W51" s="114" t="s">
        <v>189</v>
      </c>
      <c r="X51" s="23"/>
      <c r="Y51" s="23"/>
      <c r="Z51" s="23"/>
      <c r="AA51" s="23"/>
      <c r="AB51" s="23"/>
      <c r="AC51" s="24"/>
    </row>
    <row r="52" spans="23:29" x14ac:dyDescent="0.25">
      <c r="W52" s="114"/>
      <c r="X52" s="23"/>
      <c r="Y52" s="23"/>
      <c r="Z52" s="23"/>
      <c r="AA52" s="23"/>
      <c r="AB52" s="23"/>
      <c r="AC52" s="24"/>
    </row>
    <row r="53" spans="23:29" x14ac:dyDescent="0.25">
      <c r="W53" s="114" t="s">
        <v>190</v>
      </c>
      <c r="X53" s="23"/>
      <c r="Y53" s="23"/>
      <c r="Z53" s="23"/>
      <c r="AA53" s="23"/>
      <c r="AB53" s="23"/>
      <c r="AC53" s="24"/>
    </row>
    <row r="54" spans="23:29" x14ac:dyDescent="0.25">
      <c r="W54" s="114" t="s">
        <v>191</v>
      </c>
      <c r="X54" s="23"/>
      <c r="Y54" s="23"/>
      <c r="Z54" s="23"/>
      <c r="AA54" s="23"/>
      <c r="AB54" s="23"/>
      <c r="AC54" s="24"/>
    </row>
    <row r="55" spans="23:29" x14ac:dyDescent="0.25">
      <c r="W55" s="114"/>
      <c r="X55" s="23"/>
      <c r="Y55" s="23"/>
      <c r="Z55" s="23"/>
      <c r="AA55" s="23"/>
      <c r="AB55" s="23"/>
      <c r="AC55" s="24"/>
    </row>
    <row r="56" spans="23:29" x14ac:dyDescent="0.25">
      <c r="W56" s="121" t="s">
        <v>192</v>
      </c>
      <c r="X56" s="23"/>
      <c r="Y56" s="23"/>
      <c r="Z56" s="23"/>
      <c r="AA56" s="23"/>
      <c r="AB56" s="23"/>
      <c r="AC56" s="24"/>
    </row>
    <row r="57" spans="23:29" x14ac:dyDescent="0.25">
      <c r="W57" s="114" t="s">
        <v>193</v>
      </c>
      <c r="X57" s="23"/>
      <c r="Y57" s="23"/>
      <c r="Z57" s="23"/>
      <c r="AA57" s="23"/>
      <c r="AB57" s="23"/>
      <c r="AC57" s="24"/>
    </row>
    <row r="58" spans="23:29" x14ac:dyDescent="0.25">
      <c r="W58" s="114" t="s">
        <v>194</v>
      </c>
      <c r="X58" s="23"/>
      <c r="Y58" s="23"/>
      <c r="Z58" s="23"/>
      <c r="AA58" s="23"/>
      <c r="AB58" s="23"/>
      <c r="AC58" s="24"/>
    </row>
    <row r="59" spans="23:29" x14ac:dyDescent="0.25">
      <c r="W59" s="114" t="s">
        <v>195</v>
      </c>
      <c r="X59" s="23"/>
      <c r="Y59" s="23"/>
      <c r="Z59" s="23"/>
      <c r="AA59" s="23"/>
      <c r="AB59" s="23"/>
      <c r="AC59" s="24"/>
    </row>
    <row r="60" spans="23:29" x14ac:dyDescent="0.25">
      <c r="W60" s="114" t="s">
        <v>196</v>
      </c>
      <c r="X60" s="23"/>
      <c r="Y60" s="23"/>
      <c r="Z60" s="23"/>
      <c r="AA60" s="23"/>
      <c r="AB60" s="23"/>
      <c r="AC60" s="24"/>
    </row>
    <row r="61" spans="23:29" x14ac:dyDescent="0.25">
      <c r="W61" s="118" t="s">
        <v>197</v>
      </c>
      <c r="X61" s="23"/>
      <c r="Y61" s="23"/>
      <c r="Z61" s="23"/>
      <c r="AA61" s="23"/>
      <c r="AB61" s="23"/>
      <c r="AC61" s="24"/>
    </row>
    <row r="62" spans="23:29" x14ac:dyDescent="0.25">
      <c r="W62" s="114" t="s">
        <v>198</v>
      </c>
      <c r="X62" s="23"/>
      <c r="Y62" s="23"/>
      <c r="Z62" s="23"/>
      <c r="AA62" s="23"/>
      <c r="AB62" s="23"/>
      <c r="AC62" s="24"/>
    </row>
    <row r="63" spans="23:29" x14ac:dyDescent="0.25">
      <c r="W63" s="114" t="s">
        <v>199</v>
      </c>
      <c r="X63" s="23"/>
      <c r="Y63" s="23"/>
      <c r="Z63" s="23"/>
      <c r="AA63" s="23"/>
      <c r="AB63" s="23"/>
      <c r="AC63" s="24"/>
    </row>
    <row r="64" spans="23:29" x14ac:dyDescent="0.25">
      <c r="W64" s="114"/>
      <c r="X64" s="23"/>
      <c r="Y64" s="23"/>
      <c r="Z64" s="23"/>
      <c r="AA64" s="23"/>
      <c r="AB64" s="23"/>
      <c r="AC64" s="24"/>
    </row>
    <row r="65" spans="23:29" x14ac:dyDescent="0.25">
      <c r="W65" s="121" t="s">
        <v>200</v>
      </c>
      <c r="X65" s="23"/>
      <c r="Y65" s="23"/>
      <c r="Z65" s="23"/>
      <c r="AA65" s="23"/>
      <c r="AB65" s="23"/>
      <c r="AC65" s="24"/>
    </row>
    <row r="66" spans="23:29" x14ac:dyDescent="0.25">
      <c r="W66" s="114" t="s">
        <v>201</v>
      </c>
      <c r="X66" s="23"/>
      <c r="Y66" s="23"/>
      <c r="Z66" s="23"/>
      <c r="AA66" s="23"/>
      <c r="AB66" s="23"/>
      <c r="AC66" s="24"/>
    </row>
    <row r="67" spans="23:29" x14ac:dyDescent="0.25">
      <c r="W67" s="114" t="s">
        <v>202</v>
      </c>
      <c r="X67" s="23"/>
      <c r="Y67" s="23"/>
      <c r="Z67" s="23"/>
      <c r="AA67" s="23"/>
      <c r="AB67" s="23"/>
      <c r="AC67" s="24"/>
    </row>
    <row r="68" spans="23:29" x14ac:dyDescent="0.25">
      <c r="W68" s="114" t="s">
        <v>203</v>
      </c>
      <c r="X68" s="23"/>
      <c r="Y68" s="23"/>
      <c r="Z68" s="23"/>
      <c r="AA68" s="23"/>
      <c r="AB68" s="23"/>
      <c r="AC68" s="24"/>
    </row>
    <row r="69" spans="23:29" x14ac:dyDescent="0.25">
      <c r="W69" s="114" t="s">
        <v>204</v>
      </c>
      <c r="X69" s="23"/>
      <c r="Y69" s="23"/>
      <c r="Z69" s="23"/>
      <c r="AA69" s="23"/>
      <c r="AB69" s="23"/>
      <c r="AC69" s="24"/>
    </row>
    <row r="70" spans="23:29" x14ac:dyDescent="0.25">
      <c r="W70" s="118" t="s">
        <v>205</v>
      </c>
      <c r="X70" s="23"/>
      <c r="Y70" s="23"/>
      <c r="Z70" s="23"/>
      <c r="AA70" s="23"/>
      <c r="AB70" s="23"/>
      <c r="AC70" s="24"/>
    </row>
    <row r="71" spans="23:29" x14ac:dyDescent="0.25">
      <c r="W71" s="114"/>
      <c r="X71" s="23"/>
      <c r="Y71" s="23"/>
      <c r="Z71" s="23"/>
      <c r="AA71" s="23"/>
      <c r="AB71" s="23"/>
      <c r="AC71" s="24"/>
    </row>
    <row r="72" spans="23:29" x14ac:dyDescent="0.25">
      <c r="W72" s="121" t="s">
        <v>206</v>
      </c>
      <c r="X72" s="23"/>
      <c r="Y72" s="23"/>
      <c r="Z72" s="23"/>
      <c r="AA72" s="23"/>
      <c r="AB72" s="23"/>
      <c r="AC72" s="24"/>
    </row>
    <row r="73" spans="23:29" x14ac:dyDescent="0.25">
      <c r="W73" s="114" t="s">
        <v>207</v>
      </c>
      <c r="X73" s="23"/>
      <c r="Y73" s="23"/>
      <c r="Z73" s="23"/>
      <c r="AA73" s="23"/>
      <c r="AB73" s="23"/>
      <c r="AC73" s="24"/>
    </row>
    <row r="74" spans="23:29" x14ac:dyDescent="0.25">
      <c r="W74" s="118" t="s">
        <v>208</v>
      </c>
      <c r="X74" s="23"/>
      <c r="Y74" s="23"/>
      <c r="Z74" s="23"/>
      <c r="AA74" s="23"/>
      <c r="AB74" s="23"/>
      <c r="AC74" s="24"/>
    </row>
    <row r="75" spans="23:29" x14ac:dyDescent="0.25">
      <c r="W75" s="114" t="s">
        <v>209</v>
      </c>
      <c r="X75" s="23"/>
      <c r="Y75" s="23"/>
      <c r="Z75" s="23"/>
      <c r="AA75" s="23"/>
      <c r="AB75" s="23"/>
      <c r="AC75" s="24"/>
    </row>
    <row r="76" spans="23:29" x14ac:dyDescent="0.25">
      <c r="W76" s="118" t="s">
        <v>210</v>
      </c>
      <c r="X76" s="23"/>
      <c r="Y76" s="23"/>
      <c r="Z76" s="23"/>
      <c r="AA76" s="23"/>
      <c r="AB76" s="23"/>
      <c r="AC76" s="24"/>
    </row>
    <row r="77" spans="23:29" x14ac:dyDescent="0.25">
      <c r="W77" s="114" t="s">
        <v>211</v>
      </c>
      <c r="X77" s="23"/>
      <c r="Y77" s="23"/>
      <c r="Z77" s="23"/>
      <c r="AA77" s="23"/>
      <c r="AB77" s="23"/>
      <c r="AC77" s="24"/>
    </row>
    <row r="78" spans="23:29" x14ac:dyDescent="0.25">
      <c r="W78" s="114" t="s">
        <v>212</v>
      </c>
      <c r="X78" s="23"/>
      <c r="Y78" s="23"/>
      <c r="Z78" s="23"/>
      <c r="AA78" s="23"/>
      <c r="AB78" s="23"/>
      <c r="AC78" s="24"/>
    </row>
    <row r="79" spans="23:29" x14ac:dyDescent="0.25">
      <c r="W79" s="118" t="s">
        <v>213</v>
      </c>
      <c r="X79" s="23"/>
      <c r="Y79" s="23"/>
      <c r="Z79" s="23"/>
      <c r="AA79" s="23"/>
      <c r="AB79" s="23"/>
      <c r="AC79" s="24"/>
    </row>
    <row r="80" spans="23:29" x14ac:dyDescent="0.25">
      <c r="W80" s="114" t="s">
        <v>214</v>
      </c>
      <c r="X80" s="23"/>
      <c r="Y80" s="23"/>
      <c r="Z80" s="23"/>
      <c r="AA80" s="23"/>
      <c r="AB80" s="23"/>
      <c r="AC80" s="24"/>
    </row>
    <row r="81" spans="23:29" x14ac:dyDescent="0.25">
      <c r="W81" s="114" t="s">
        <v>215</v>
      </c>
      <c r="X81" s="23"/>
      <c r="Y81" s="23"/>
      <c r="Z81" s="23"/>
      <c r="AA81" s="23"/>
      <c r="AB81" s="23"/>
      <c r="AC81" s="24"/>
    </row>
    <row r="82" spans="23:29" x14ac:dyDescent="0.25">
      <c r="W82" s="114" t="s">
        <v>216</v>
      </c>
      <c r="X82" s="23"/>
      <c r="Y82" s="23"/>
      <c r="Z82" s="23"/>
      <c r="AA82" s="23"/>
      <c r="AB82" s="23"/>
      <c r="AC82" s="24"/>
    </row>
    <row r="83" spans="23:29" x14ac:dyDescent="0.25">
      <c r="W83" s="114"/>
      <c r="X83" s="23"/>
      <c r="Y83" s="23"/>
      <c r="Z83" s="23"/>
      <c r="AA83" s="23"/>
      <c r="AB83" s="23"/>
      <c r="AC83" s="24"/>
    </row>
    <row r="84" spans="23:29" x14ac:dyDescent="0.25">
      <c r="W84" s="121" t="s">
        <v>217</v>
      </c>
      <c r="X84" s="23"/>
      <c r="Y84" s="23"/>
      <c r="Z84" s="23"/>
      <c r="AA84" s="23"/>
      <c r="AB84" s="23"/>
      <c r="AC84" s="24"/>
    </row>
    <row r="85" spans="23:29" x14ac:dyDescent="0.25">
      <c r="W85" s="114" t="s">
        <v>218</v>
      </c>
      <c r="X85" s="23"/>
      <c r="Y85" s="23"/>
      <c r="Z85" s="23"/>
      <c r="AA85" s="23"/>
      <c r="AB85" s="23"/>
      <c r="AC85" s="24"/>
    </row>
    <row r="86" spans="23:29" x14ac:dyDescent="0.25">
      <c r="W86" s="114" t="s">
        <v>219</v>
      </c>
      <c r="X86" s="23"/>
      <c r="Y86" s="23"/>
      <c r="Z86" s="23"/>
      <c r="AA86" s="23"/>
      <c r="AB86" s="23"/>
      <c r="AC86" s="24"/>
    </row>
    <row r="87" spans="23:29" x14ac:dyDescent="0.25">
      <c r="W87" s="118" t="s">
        <v>220</v>
      </c>
      <c r="X87" s="23"/>
      <c r="Y87" s="23"/>
      <c r="Z87" s="23"/>
      <c r="AA87" s="23"/>
      <c r="AB87" s="23"/>
      <c r="AC87" s="24"/>
    </row>
    <row r="88" spans="23:29" x14ac:dyDescent="0.25">
      <c r="W88" s="114" t="s">
        <v>221</v>
      </c>
      <c r="X88" s="23"/>
      <c r="Y88" s="23"/>
      <c r="Z88" s="23"/>
      <c r="AA88" s="23"/>
      <c r="AB88" s="23"/>
      <c r="AC88" s="24"/>
    </row>
    <row r="89" spans="23:29" x14ac:dyDescent="0.25">
      <c r="W89" s="118" t="s">
        <v>222</v>
      </c>
      <c r="X89" s="23"/>
      <c r="Y89" s="23"/>
      <c r="Z89" s="23"/>
      <c r="AA89" s="23"/>
      <c r="AB89" s="23"/>
      <c r="AC89" s="24"/>
    </row>
    <row r="90" spans="23:29" x14ac:dyDescent="0.25">
      <c r="W90" s="114" t="s">
        <v>223</v>
      </c>
      <c r="X90" s="23"/>
      <c r="Y90" s="23"/>
      <c r="Z90" s="23"/>
      <c r="AA90" s="23"/>
      <c r="AB90" s="23"/>
      <c r="AC90" s="24"/>
    </row>
    <row r="91" spans="23:29" x14ac:dyDescent="0.25">
      <c r="W91" s="114" t="s">
        <v>224</v>
      </c>
      <c r="X91" s="23"/>
      <c r="Y91" s="23"/>
      <c r="Z91" s="23"/>
      <c r="AA91" s="23"/>
      <c r="AB91" s="23"/>
      <c r="AC91" s="24"/>
    </row>
    <row r="92" spans="23:29" x14ac:dyDescent="0.25">
      <c r="W92" s="118" t="s">
        <v>225</v>
      </c>
      <c r="X92" s="23"/>
      <c r="Y92" s="23"/>
      <c r="Z92" s="23"/>
      <c r="AA92" s="23"/>
      <c r="AB92" s="23"/>
      <c r="AC92" s="24"/>
    </row>
    <row r="93" spans="23:29" x14ac:dyDescent="0.25">
      <c r="W93" s="114"/>
      <c r="X93" s="23"/>
      <c r="Y93" s="23"/>
      <c r="Z93" s="23"/>
      <c r="AA93" s="23"/>
      <c r="AB93" s="23"/>
      <c r="AC93" s="24"/>
    </row>
    <row r="94" spans="23:29" x14ac:dyDescent="0.25">
      <c r="W94" s="114"/>
      <c r="X94" s="23"/>
      <c r="Y94" s="23"/>
      <c r="Z94" s="23"/>
      <c r="AA94" s="23"/>
      <c r="AB94" s="23"/>
      <c r="AC94" s="24"/>
    </row>
    <row r="95" spans="23:29" x14ac:dyDescent="0.25">
      <c r="W95" s="121" t="s">
        <v>226</v>
      </c>
      <c r="X95" s="23"/>
      <c r="Y95" s="23"/>
      <c r="Z95" s="23"/>
      <c r="AA95" s="23"/>
      <c r="AB95" s="23"/>
      <c r="AC95" s="24"/>
    </row>
    <row r="96" spans="23:29" x14ac:dyDescent="0.25">
      <c r="W96" s="114" t="s">
        <v>227</v>
      </c>
      <c r="X96" s="23"/>
      <c r="Y96" s="23"/>
      <c r="Z96" s="23"/>
      <c r="AA96" s="23"/>
      <c r="AB96" s="23"/>
      <c r="AC96" s="24"/>
    </row>
    <row r="97" spans="23:29" x14ac:dyDescent="0.25">
      <c r="W97" s="114" t="s">
        <v>228</v>
      </c>
      <c r="X97" s="23"/>
      <c r="Y97" s="23"/>
      <c r="Z97" s="23"/>
      <c r="AA97" s="23"/>
      <c r="AB97" s="23"/>
      <c r="AC97" s="24"/>
    </row>
    <row r="98" spans="23:29" x14ac:dyDescent="0.25">
      <c r="W98" s="114" t="s">
        <v>229</v>
      </c>
      <c r="X98" s="23"/>
      <c r="Y98" s="23"/>
      <c r="Z98" s="23"/>
      <c r="AA98" s="23"/>
      <c r="AB98" s="23"/>
      <c r="AC98" s="24"/>
    </row>
    <row r="99" spans="23:29" x14ac:dyDescent="0.25">
      <c r="W99" s="114" t="s">
        <v>230</v>
      </c>
      <c r="X99" s="23"/>
      <c r="Y99" s="23"/>
      <c r="Z99" s="23"/>
      <c r="AA99" s="23"/>
      <c r="AB99" s="23"/>
      <c r="AC99" s="24"/>
    </row>
    <row r="100" spans="23:29" x14ac:dyDescent="0.25">
      <c r="W100" s="114" t="s">
        <v>231</v>
      </c>
      <c r="X100" s="23"/>
      <c r="Y100" s="23"/>
      <c r="Z100" s="23"/>
      <c r="AA100" s="23"/>
      <c r="AB100" s="23"/>
      <c r="AC100" s="24"/>
    </row>
    <row r="101" spans="23:29" x14ac:dyDescent="0.25">
      <c r="W101" s="114" t="s">
        <v>232</v>
      </c>
      <c r="X101" s="23"/>
      <c r="Y101" s="23"/>
      <c r="Z101" s="23"/>
      <c r="AA101" s="23"/>
      <c r="AB101" s="23"/>
      <c r="AC101" s="24"/>
    </row>
    <row r="102" spans="23:29" x14ac:dyDescent="0.25">
      <c r="W102" s="114" t="s">
        <v>233</v>
      </c>
      <c r="X102" s="23"/>
      <c r="Y102" s="23"/>
      <c r="Z102" s="23"/>
      <c r="AA102" s="23"/>
      <c r="AB102" s="23"/>
      <c r="AC102" s="24"/>
    </row>
    <row r="103" spans="23:29" x14ac:dyDescent="0.25">
      <c r="W103" s="114" t="s">
        <v>234</v>
      </c>
      <c r="X103" s="23"/>
      <c r="Y103" s="23"/>
      <c r="Z103" s="23"/>
      <c r="AA103" s="23"/>
      <c r="AB103" s="23"/>
      <c r="AC103" s="24"/>
    </row>
    <row r="104" spans="23:29" x14ac:dyDescent="0.25">
      <c r="W104" s="114" t="s">
        <v>235</v>
      </c>
      <c r="X104" s="23"/>
      <c r="Y104" s="23"/>
      <c r="Z104" s="23"/>
      <c r="AA104" s="23"/>
      <c r="AB104" s="23"/>
      <c r="AC104" s="24"/>
    </row>
    <row r="105" spans="23:29" x14ac:dyDescent="0.25">
      <c r="W105" s="115" t="s">
        <v>236</v>
      </c>
      <c r="X105" s="25"/>
      <c r="Y105" s="25"/>
      <c r="Z105" s="25"/>
      <c r="AA105" s="25"/>
      <c r="AB105" s="25"/>
      <c r="AC105" s="26"/>
    </row>
  </sheetData>
  <mergeCells count="38">
    <mergeCell ref="Q26:R26"/>
    <mergeCell ref="Q27:R27"/>
    <mergeCell ref="P24:R24"/>
    <mergeCell ref="Q25:R25"/>
    <mergeCell ref="B15:D15"/>
    <mergeCell ref="C19:D19"/>
    <mergeCell ref="C20:D20"/>
    <mergeCell ref="C21:D21"/>
    <mergeCell ref="W24:AC24"/>
    <mergeCell ref="C37:D37"/>
    <mergeCell ref="C17:D17"/>
    <mergeCell ref="C38:D38"/>
    <mergeCell ref="C39:D39"/>
    <mergeCell ref="C41:D41"/>
    <mergeCell ref="B31:D31"/>
    <mergeCell ref="C32:D32"/>
    <mergeCell ref="C33:D33"/>
    <mergeCell ref="C40:D40"/>
    <mergeCell ref="B24:D24"/>
    <mergeCell ref="C25:D25"/>
    <mergeCell ref="C18:D18"/>
    <mergeCell ref="C22:D22"/>
    <mergeCell ref="C42:D42"/>
    <mergeCell ref="J2:L2"/>
    <mergeCell ref="K3:L3"/>
    <mergeCell ref="K6:L6"/>
    <mergeCell ref="K4:L4"/>
    <mergeCell ref="B36:D36"/>
    <mergeCell ref="F37:G37"/>
    <mergeCell ref="F38:G38"/>
    <mergeCell ref="F9:N9"/>
    <mergeCell ref="F39:G39"/>
    <mergeCell ref="F36:O36"/>
    <mergeCell ref="B27:D27"/>
    <mergeCell ref="C28:D28"/>
    <mergeCell ref="C29:D29"/>
    <mergeCell ref="B5:D5"/>
    <mergeCell ref="C16:D16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I71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28" sqref="K28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3" customWidth="1"/>
    <col min="5" max="5" width="10.42578125" bestFit="1" customWidth="1"/>
    <col min="6" max="6" width="10.42578125" style="33" customWidth="1"/>
    <col min="7" max="7" width="10.42578125" bestFit="1" customWidth="1"/>
    <col min="8" max="8" width="10.42578125" style="33" bestFit="1" customWidth="1"/>
    <col min="9" max="9" width="10.42578125" bestFit="1" customWidth="1"/>
    <col min="10" max="10" width="8.85546875" style="33"/>
    <col min="11" max="11" width="9.85546875" bestFit="1" customWidth="1"/>
    <col min="14" max="17" width="10.42578125" bestFit="1" customWidth="1"/>
    <col min="30" max="30" width="15.7109375" bestFit="1" customWidth="1"/>
    <col min="33" max="33" width="9.140625" bestFit="1" customWidth="1"/>
  </cols>
  <sheetData>
    <row r="1" spans="2:28" x14ac:dyDescent="0.25">
      <c r="C1" s="13" t="s">
        <v>87</v>
      </c>
      <c r="D1" s="31" t="s">
        <v>91</v>
      </c>
      <c r="E1" s="13" t="s">
        <v>88</v>
      </c>
      <c r="F1" s="31" t="s">
        <v>94</v>
      </c>
      <c r="G1" s="13" t="s">
        <v>89</v>
      </c>
      <c r="H1" s="31" t="s">
        <v>95</v>
      </c>
      <c r="I1" s="85" t="s">
        <v>90</v>
      </c>
      <c r="J1" s="31" t="s">
        <v>96</v>
      </c>
      <c r="K1" s="13" t="s">
        <v>242</v>
      </c>
      <c r="L1" s="13"/>
      <c r="M1" s="13"/>
      <c r="N1" s="13" t="s">
        <v>54</v>
      </c>
      <c r="O1" s="13" t="s">
        <v>36</v>
      </c>
      <c r="P1" s="13" t="s">
        <v>27</v>
      </c>
      <c r="Q1" s="13" t="s">
        <v>38</v>
      </c>
      <c r="R1" s="13" t="s">
        <v>37</v>
      </c>
      <c r="S1" s="13" t="s">
        <v>110</v>
      </c>
      <c r="T1" s="13" t="s">
        <v>111</v>
      </c>
      <c r="U1" s="13" t="s">
        <v>112</v>
      </c>
      <c r="V1" s="13" t="s">
        <v>113</v>
      </c>
      <c r="W1" s="13" t="s">
        <v>114</v>
      </c>
      <c r="X1" s="13" t="s">
        <v>115</v>
      </c>
      <c r="Y1" s="13" t="s">
        <v>116</v>
      </c>
      <c r="Z1" s="13" t="s">
        <v>117</v>
      </c>
      <c r="AA1" s="13" t="s">
        <v>118</v>
      </c>
      <c r="AB1" s="13" t="s">
        <v>119</v>
      </c>
    </row>
    <row r="2" spans="2:28" s="90" customFormat="1" x14ac:dyDescent="0.25">
      <c r="B2" s="87"/>
      <c r="C2" s="20">
        <v>43646</v>
      </c>
      <c r="D2" s="88" t="s">
        <v>92</v>
      </c>
      <c r="E2" s="20">
        <v>44012</v>
      </c>
      <c r="F2" s="88">
        <v>44196</v>
      </c>
      <c r="G2" s="20">
        <v>44377</v>
      </c>
      <c r="H2" s="88">
        <v>44561</v>
      </c>
      <c r="I2" s="20">
        <v>44742</v>
      </c>
      <c r="J2" s="89"/>
      <c r="N2" s="20">
        <v>43465</v>
      </c>
      <c r="O2" s="20">
        <v>43830</v>
      </c>
      <c r="P2" s="20">
        <v>44196</v>
      </c>
      <c r="Q2" s="20">
        <v>44561</v>
      </c>
      <c r="R2" s="41" t="s">
        <v>56</v>
      </c>
      <c r="S2" s="41" t="s">
        <v>56</v>
      </c>
      <c r="T2" s="41" t="s">
        <v>56</v>
      </c>
      <c r="U2" s="41" t="s">
        <v>56</v>
      </c>
      <c r="V2" s="41" t="s">
        <v>56</v>
      </c>
      <c r="W2" s="41" t="s">
        <v>56</v>
      </c>
      <c r="X2" s="41" t="s">
        <v>56</v>
      </c>
      <c r="Y2" s="41" t="s">
        <v>56</v>
      </c>
      <c r="Z2" s="41" t="s">
        <v>56</v>
      </c>
      <c r="AA2" s="41" t="s">
        <v>56</v>
      </c>
      <c r="AB2" s="41" t="s">
        <v>56</v>
      </c>
    </row>
    <row r="3" spans="2:28" s="76" customFormat="1" x14ac:dyDescent="0.25">
      <c r="B3"/>
      <c r="C3" s="14"/>
      <c r="D3" s="32"/>
      <c r="E3" s="14"/>
      <c r="F3" s="32"/>
      <c r="G3" s="14"/>
      <c r="H3" s="32"/>
      <c r="I3" s="86">
        <v>44825</v>
      </c>
      <c r="J3" s="77"/>
      <c r="K3" s="86">
        <v>45146</v>
      </c>
      <c r="N3" s="20"/>
      <c r="O3" s="20"/>
      <c r="P3" s="14"/>
      <c r="Q3" s="14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2:28" x14ac:dyDescent="0.25">
      <c r="B4" s="12" t="s">
        <v>16</v>
      </c>
      <c r="C4" s="64">
        <v>1.5716999999999998E-2</v>
      </c>
      <c r="D4" s="70">
        <f>O4-C4</f>
        <v>1.6253E-2</v>
      </c>
      <c r="E4" s="64">
        <v>1.2707E-2</v>
      </c>
      <c r="F4" s="70">
        <f>P4-E4</f>
        <v>3.6773E-2</v>
      </c>
      <c r="G4" s="64">
        <v>3.2741449999999999</v>
      </c>
      <c r="H4" s="70">
        <f>Q4-G4</f>
        <v>13.101855</v>
      </c>
      <c r="I4" s="72">
        <v>9.8320000000000007</v>
      </c>
      <c r="J4" s="71"/>
      <c r="K4" s="72">
        <v>2.5</v>
      </c>
      <c r="L4" s="68"/>
      <c r="M4" s="68"/>
      <c r="N4" s="64">
        <v>4.8380000000000003E-3</v>
      </c>
      <c r="O4" s="64">
        <v>3.1969999999999998E-2</v>
      </c>
      <c r="P4" s="64">
        <v>4.9480000000000003E-2</v>
      </c>
      <c r="Q4" s="64">
        <v>16.376000000000001</v>
      </c>
      <c r="R4" s="72">
        <f>Q4*1.25</f>
        <v>20.470000000000002</v>
      </c>
      <c r="S4" s="72">
        <f t="shared" ref="S4:AB4" si="0">R4*1.25</f>
        <v>25.587500000000002</v>
      </c>
      <c r="T4" s="72">
        <f t="shared" si="0"/>
        <v>31.984375000000004</v>
      </c>
      <c r="U4" s="72">
        <f t="shared" si="0"/>
        <v>39.980468750000007</v>
      </c>
      <c r="V4" s="72">
        <f t="shared" si="0"/>
        <v>49.975585937500007</v>
      </c>
      <c r="W4" s="72">
        <f t="shared" si="0"/>
        <v>62.469482421875007</v>
      </c>
      <c r="X4" s="72">
        <f t="shared" si="0"/>
        <v>78.086853027343764</v>
      </c>
      <c r="Y4" s="72">
        <f t="shared" si="0"/>
        <v>97.608566284179702</v>
      </c>
      <c r="Z4" s="72">
        <f t="shared" si="0"/>
        <v>122.01070785522462</v>
      </c>
      <c r="AA4" s="72">
        <f t="shared" si="0"/>
        <v>152.51338481903079</v>
      </c>
      <c r="AB4" s="72">
        <f t="shared" si="0"/>
        <v>190.64173102378848</v>
      </c>
    </row>
    <row r="5" spans="2:28" x14ac:dyDescent="0.25">
      <c r="B5" t="s">
        <v>17</v>
      </c>
      <c r="C5" s="65">
        <v>0.24007999999999999</v>
      </c>
      <c r="D5" s="73">
        <f>O5-C5</f>
        <v>0.25205600000000006</v>
      </c>
      <c r="E5" s="65">
        <v>0.174067</v>
      </c>
      <c r="F5" s="73">
        <f>P5-E5</f>
        <v>-3.2727000000000006E-2</v>
      </c>
      <c r="G5" s="65">
        <v>2.1742710000000001</v>
      </c>
      <c r="H5" s="73">
        <f>Q5-G5</f>
        <v>9.0767290000000003</v>
      </c>
      <c r="I5" s="68">
        <v>8.3209999999999997</v>
      </c>
      <c r="J5" s="71"/>
      <c r="K5" s="68"/>
      <c r="L5" s="68"/>
      <c r="M5" s="68"/>
      <c r="N5" s="65">
        <v>0.54072100000000001</v>
      </c>
      <c r="O5" s="65">
        <v>0.49213600000000002</v>
      </c>
      <c r="P5" s="65">
        <v>0.14133999999999999</v>
      </c>
      <c r="Q5" s="65">
        <v>11.250999999999999</v>
      </c>
      <c r="R5" s="69">
        <f>R4-R7</f>
        <v>14.124300000000002</v>
      </c>
      <c r="S5" s="69">
        <f t="shared" ref="S5:AB5" si="1">S4-S7</f>
        <v>17.655374999999999</v>
      </c>
      <c r="T5" s="69">
        <f t="shared" si="1"/>
        <v>22.069218750000005</v>
      </c>
      <c r="U5" s="69">
        <f t="shared" si="1"/>
        <v>27.586523437500006</v>
      </c>
      <c r="V5" s="69">
        <f t="shared" si="1"/>
        <v>34.483154296875007</v>
      </c>
      <c r="W5" s="69">
        <f t="shared" si="1"/>
        <v>43.10394287109375</v>
      </c>
      <c r="X5" s="69">
        <f t="shared" si="1"/>
        <v>53.879928588867202</v>
      </c>
      <c r="Y5" s="69">
        <f t="shared" si="1"/>
        <v>67.349910736083999</v>
      </c>
      <c r="Z5" s="69">
        <f t="shared" si="1"/>
        <v>84.18738842010498</v>
      </c>
      <c r="AA5" s="69">
        <f t="shared" si="1"/>
        <v>105.23423552513125</v>
      </c>
      <c r="AB5" s="69">
        <f t="shared" si="1"/>
        <v>131.54279440641406</v>
      </c>
    </row>
    <row r="6" spans="2:28" x14ac:dyDescent="0.25">
      <c r="B6" t="s">
        <v>33</v>
      </c>
      <c r="C6" s="66">
        <v>0</v>
      </c>
      <c r="D6" s="73">
        <v>0</v>
      </c>
      <c r="E6" s="66">
        <v>0</v>
      </c>
      <c r="F6" s="73">
        <f>P6-E6</f>
        <v>0.54844199999999999</v>
      </c>
      <c r="G6" s="66">
        <v>0</v>
      </c>
      <c r="H6" s="73">
        <f>Q6-G6</f>
        <v>0</v>
      </c>
      <c r="I6" s="68">
        <v>0</v>
      </c>
      <c r="J6" s="71"/>
      <c r="K6" s="68"/>
      <c r="L6" s="68"/>
      <c r="M6" s="68"/>
      <c r="N6" s="66">
        <v>0</v>
      </c>
      <c r="O6" s="66">
        <v>0</v>
      </c>
      <c r="P6" s="66">
        <v>0.54844199999999999</v>
      </c>
      <c r="Q6" s="66">
        <v>0</v>
      </c>
      <c r="R6" s="68">
        <v>0</v>
      </c>
      <c r="S6" s="68">
        <v>1</v>
      </c>
      <c r="T6" s="68">
        <v>2</v>
      </c>
      <c r="U6" s="68">
        <v>3</v>
      </c>
      <c r="V6" s="68">
        <v>4</v>
      </c>
      <c r="W6" s="68">
        <v>5</v>
      </c>
      <c r="X6" s="68">
        <v>6</v>
      </c>
      <c r="Y6" s="68">
        <v>7</v>
      </c>
      <c r="Z6" s="68">
        <v>8</v>
      </c>
      <c r="AA6" s="68">
        <v>9</v>
      </c>
      <c r="AB6" s="68">
        <v>10</v>
      </c>
    </row>
    <row r="7" spans="2:28" x14ac:dyDescent="0.25">
      <c r="B7" s="12" t="s">
        <v>18</v>
      </c>
      <c r="C7" s="64">
        <f t="shared" ref="C7:I7" si="2">C4-C5-C6</f>
        <v>-0.22436299999999998</v>
      </c>
      <c r="D7" s="70">
        <f t="shared" si="2"/>
        <v>-0.23580300000000007</v>
      </c>
      <c r="E7" s="64">
        <f t="shared" si="2"/>
        <v>-0.16136</v>
      </c>
      <c r="F7" s="70">
        <f t="shared" si="2"/>
        <v>-0.47894199999999998</v>
      </c>
      <c r="G7" s="64">
        <f t="shared" si="2"/>
        <v>1.0998739999999998</v>
      </c>
      <c r="H7" s="70">
        <f t="shared" si="2"/>
        <v>4.0251260000000002</v>
      </c>
      <c r="I7" s="64">
        <f t="shared" si="2"/>
        <v>1.511000000000001</v>
      </c>
      <c r="J7" s="71"/>
      <c r="K7" s="68"/>
      <c r="L7" s="68"/>
      <c r="M7" s="68"/>
      <c r="N7" s="64">
        <f>N4-N5-N6</f>
        <v>-0.535883</v>
      </c>
      <c r="O7" s="64">
        <f>O4-O5-O6</f>
        <v>-0.46016600000000002</v>
      </c>
      <c r="P7" s="64">
        <f>P4-P5-P6</f>
        <v>-0.64030199999999993</v>
      </c>
      <c r="Q7" s="64">
        <f>Q4-Q5-Q6</f>
        <v>5.1250000000000018</v>
      </c>
      <c r="R7" s="72">
        <f>R4*0.31</f>
        <v>6.3457000000000008</v>
      </c>
      <c r="S7" s="72">
        <f t="shared" ref="S7:AB7" si="3">S4*0.31</f>
        <v>7.932125000000001</v>
      </c>
      <c r="T7" s="72">
        <f t="shared" si="3"/>
        <v>9.9151562500000008</v>
      </c>
      <c r="U7" s="72">
        <f t="shared" si="3"/>
        <v>12.393945312500001</v>
      </c>
      <c r="V7" s="72">
        <f t="shared" si="3"/>
        <v>15.492431640625002</v>
      </c>
      <c r="W7" s="72">
        <f t="shared" si="3"/>
        <v>19.365539550781254</v>
      </c>
      <c r="X7" s="72">
        <f t="shared" si="3"/>
        <v>24.206924438476566</v>
      </c>
      <c r="Y7" s="72">
        <f t="shared" si="3"/>
        <v>30.258655548095707</v>
      </c>
      <c r="Z7" s="72">
        <f t="shared" si="3"/>
        <v>37.823319435119636</v>
      </c>
      <c r="AA7" s="72">
        <f t="shared" si="3"/>
        <v>47.279149293899543</v>
      </c>
      <c r="AB7" s="72">
        <f t="shared" si="3"/>
        <v>59.098936617374427</v>
      </c>
    </row>
    <row r="8" spans="2:28" x14ac:dyDescent="0.25">
      <c r="B8" t="s">
        <v>34</v>
      </c>
      <c r="C8" s="66">
        <v>0</v>
      </c>
      <c r="D8" s="73">
        <f>O8-C8</f>
        <v>0</v>
      </c>
      <c r="E8" s="66">
        <v>0</v>
      </c>
      <c r="F8" s="73">
        <f>P8-E8</f>
        <v>0.62167300000000003</v>
      </c>
      <c r="G8" s="66">
        <v>0</v>
      </c>
      <c r="H8" s="73">
        <f>Q8-G8</f>
        <v>0.41399999999999998</v>
      </c>
      <c r="I8" s="68">
        <v>0</v>
      </c>
      <c r="J8" s="71"/>
      <c r="K8" s="68"/>
      <c r="L8" s="68"/>
      <c r="M8" s="68"/>
      <c r="N8" s="66">
        <v>0</v>
      </c>
      <c r="O8" s="66">
        <v>0</v>
      </c>
      <c r="P8" s="66">
        <v>0.62167300000000003</v>
      </c>
      <c r="Q8" s="66">
        <v>0.41399999999999998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</row>
    <row r="9" spans="2:28" x14ac:dyDescent="0.25">
      <c r="B9" t="s">
        <v>35</v>
      </c>
      <c r="C9" s="66">
        <v>0</v>
      </c>
      <c r="D9" s="73">
        <f>O9-C9</f>
        <v>0</v>
      </c>
      <c r="E9" s="66">
        <v>0</v>
      </c>
      <c r="F9" s="73">
        <f>P9-E9</f>
        <v>0.17971799999999999</v>
      </c>
      <c r="G9" s="66">
        <v>0</v>
      </c>
      <c r="H9" s="73">
        <f>Q9-G9</f>
        <v>0</v>
      </c>
      <c r="I9" s="68">
        <v>0</v>
      </c>
      <c r="J9" s="71"/>
      <c r="K9" s="68"/>
      <c r="L9" s="68"/>
      <c r="M9" s="68"/>
      <c r="N9" s="66">
        <v>0</v>
      </c>
      <c r="O9" s="66">
        <v>0</v>
      </c>
      <c r="P9" s="66">
        <v>0.17971799999999999</v>
      </c>
      <c r="Q9" s="66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0</v>
      </c>
      <c r="AA9" s="68">
        <v>0</v>
      </c>
      <c r="AB9" s="68">
        <v>0</v>
      </c>
    </row>
    <row r="10" spans="2:28" x14ac:dyDescent="0.25">
      <c r="B10" t="s">
        <v>19</v>
      </c>
      <c r="C10" s="67">
        <v>0.96812500000000001</v>
      </c>
      <c r="D10" s="73">
        <f>O10-C10</f>
        <v>0.97057000000000004</v>
      </c>
      <c r="E10" s="67">
        <v>1.0099990000000001</v>
      </c>
      <c r="F10" s="73">
        <f>P10-E10</f>
        <v>1.2030096000000001</v>
      </c>
      <c r="G10" s="67">
        <v>1.299544</v>
      </c>
      <c r="H10" s="73">
        <f>Q10-G10</f>
        <v>1.2534559999999999</v>
      </c>
      <c r="I10" s="68">
        <v>1.395</v>
      </c>
      <c r="J10" s="71"/>
      <c r="K10" s="16"/>
      <c r="L10" s="16"/>
      <c r="M10" s="68"/>
      <c r="N10" s="67">
        <v>2.213695</v>
      </c>
      <c r="O10" s="67">
        <v>1.9386950000000001</v>
      </c>
      <c r="P10" s="67">
        <v>2.2130086000000002</v>
      </c>
      <c r="Q10" s="67">
        <v>2.5529999999999999</v>
      </c>
      <c r="R10" s="68">
        <f>Q10*1</f>
        <v>2.5529999999999999</v>
      </c>
      <c r="S10" s="68">
        <f t="shared" ref="S10:AB10" si="4">R10*1</f>
        <v>2.5529999999999999</v>
      </c>
      <c r="T10" s="68">
        <f t="shared" si="4"/>
        <v>2.5529999999999999</v>
      </c>
      <c r="U10" s="68">
        <f t="shared" si="4"/>
        <v>2.5529999999999999</v>
      </c>
      <c r="V10" s="68">
        <f t="shared" si="4"/>
        <v>2.5529999999999999</v>
      </c>
      <c r="W10" s="68">
        <f t="shared" si="4"/>
        <v>2.5529999999999999</v>
      </c>
      <c r="X10" s="68">
        <f t="shared" si="4"/>
        <v>2.5529999999999999</v>
      </c>
      <c r="Y10" s="68">
        <f t="shared" si="4"/>
        <v>2.5529999999999999</v>
      </c>
      <c r="Z10" s="68">
        <f t="shared" si="4"/>
        <v>2.5529999999999999</v>
      </c>
      <c r="AA10" s="68">
        <f t="shared" si="4"/>
        <v>2.5529999999999999</v>
      </c>
      <c r="AB10" s="68">
        <f t="shared" si="4"/>
        <v>2.5529999999999999</v>
      </c>
    </row>
    <row r="11" spans="2:28" x14ac:dyDescent="0.25">
      <c r="B11" t="s">
        <v>20</v>
      </c>
      <c r="C11" s="67">
        <v>0</v>
      </c>
      <c r="D11" s="73">
        <f>O11-C11</f>
        <v>0</v>
      </c>
      <c r="E11" s="67">
        <v>0.100989</v>
      </c>
      <c r="F11" s="73">
        <f>P11-E11</f>
        <v>-0.100989</v>
      </c>
      <c r="G11" s="67">
        <v>6.0677000000000002E-2</v>
      </c>
      <c r="H11" s="73">
        <f>Q11-G11</f>
        <v>-6.0677000000000002E-2</v>
      </c>
      <c r="I11" s="68">
        <v>0</v>
      </c>
      <c r="J11" s="71"/>
      <c r="K11" s="68"/>
      <c r="L11" s="68"/>
      <c r="M11" s="68"/>
      <c r="N11" s="66">
        <v>0</v>
      </c>
      <c r="O11" s="66">
        <v>0</v>
      </c>
      <c r="P11" s="66">
        <v>0</v>
      </c>
      <c r="Q11" s="66">
        <v>0</v>
      </c>
      <c r="R11" s="68">
        <v>0</v>
      </c>
      <c r="S11" s="68">
        <v>1</v>
      </c>
      <c r="T11" s="68">
        <v>2</v>
      </c>
      <c r="U11" s="68">
        <v>3</v>
      </c>
      <c r="V11" s="68">
        <v>4</v>
      </c>
      <c r="W11" s="68">
        <v>5</v>
      </c>
      <c r="X11" s="68">
        <v>6</v>
      </c>
      <c r="Y11" s="68">
        <v>7</v>
      </c>
      <c r="Z11" s="68">
        <v>8</v>
      </c>
      <c r="AA11" s="68">
        <v>9</v>
      </c>
      <c r="AB11" s="68">
        <v>10</v>
      </c>
    </row>
    <row r="12" spans="2:28" x14ac:dyDescent="0.25">
      <c r="B12" t="s">
        <v>21</v>
      </c>
      <c r="C12" s="67">
        <v>0.126301</v>
      </c>
      <c r="D12" s="73">
        <f>O12-C12</f>
        <v>-5.6579999999999991E-2</v>
      </c>
      <c r="E12" s="67">
        <v>7.4552999999999994E-2</v>
      </c>
      <c r="F12" s="73">
        <f>P12-E12</f>
        <v>2.8737000000000013E-2</v>
      </c>
      <c r="G12" s="67">
        <v>6.5929999999999999E-3</v>
      </c>
      <c r="H12" s="73">
        <f>Q12-G12</f>
        <v>0.105407</v>
      </c>
      <c r="I12" s="68">
        <v>0.104</v>
      </c>
      <c r="J12" s="71"/>
      <c r="K12" s="68"/>
      <c r="L12" s="68"/>
      <c r="M12" s="68"/>
      <c r="N12" s="67">
        <v>9.2290999999999998E-2</v>
      </c>
      <c r="O12" s="67">
        <v>6.9721000000000005E-2</v>
      </c>
      <c r="P12" s="67">
        <v>0.10329000000000001</v>
      </c>
      <c r="Q12" s="67">
        <v>0.112</v>
      </c>
      <c r="R12" s="67">
        <f>Q12</f>
        <v>0.112</v>
      </c>
      <c r="S12" s="67">
        <f t="shared" ref="S12:AB12" si="5">R12</f>
        <v>0.112</v>
      </c>
      <c r="T12" s="67">
        <f t="shared" si="5"/>
        <v>0.112</v>
      </c>
      <c r="U12" s="67">
        <f t="shared" si="5"/>
        <v>0.112</v>
      </c>
      <c r="V12" s="67">
        <f t="shared" si="5"/>
        <v>0.112</v>
      </c>
      <c r="W12" s="67">
        <f t="shared" si="5"/>
        <v>0.112</v>
      </c>
      <c r="X12" s="67">
        <f t="shared" si="5"/>
        <v>0.112</v>
      </c>
      <c r="Y12" s="67">
        <f t="shared" si="5"/>
        <v>0.112</v>
      </c>
      <c r="Z12" s="67">
        <f t="shared" si="5"/>
        <v>0.112</v>
      </c>
      <c r="AA12" s="67">
        <f t="shared" si="5"/>
        <v>0.112</v>
      </c>
      <c r="AB12" s="67">
        <f t="shared" si="5"/>
        <v>0.112</v>
      </c>
    </row>
    <row r="13" spans="2:28" x14ac:dyDescent="0.25">
      <c r="B13" t="s">
        <v>22</v>
      </c>
      <c r="C13" s="67">
        <f t="shared" ref="C13:H13" si="6">SUM(C8:C12)</f>
        <v>1.0944259999999999</v>
      </c>
      <c r="D13" s="73">
        <f t="shared" si="6"/>
        <v>0.91399000000000008</v>
      </c>
      <c r="E13" s="67">
        <f t="shared" si="6"/>
        <v>1.1855410000000002</v>
      </c>
      <c r="F13" s="73">
        <f t="shared" si="6"/>
        <v>1.9321486000000003</v>
      </c>
      <c r="G13" s="67">
        <f t="shared" si="6"/>
        <v>1.3668140000000002</v>
      </c>
      <c r="H13" s="73">
        <f t="shared" si="6"/>
        <v>1.7121859999999998</v>
      </c>
      <c r="I13" s="68">
        <v>1.4990000000000001</v>
      </c>
      <c r="J13" s="71"/>
      <c r="K13" s="68"/>
      <c r="L13" s="68"/>
      <c r="M13" s="68"/>
      <c r="N13" s="67">
        <f>SUM(N8:N12)</f>
        <v>2.3059859999999999</v>
      </c>
      <c r="O13" s="67">
        <f>SUM(O8:O12)</f>
        <v>2.008416</v>
      </c>
      <c r="P13" s="67">
        <f>SUM(P8:P12)</f>
        <v>3.1176895999999998</v>
      </c>
      <c r="Q13" s="67">
        <f>SUM(Q8:Q12)</f>
        <v>3.0790000000000002</v>
      </c>
      <c r="R13" s="68">
        <f>Q13</f>
        <v>3.0790000000000002</v>
      </c>
      <c r="S13" s="68">
        <f t="shared" ref="S13:AB13" si="7">R13</f>
        <v>3.0790000000000002</v>
      </c>
      <c r="T13" s="68">
        <f t="shared" si="7"/>
        <v>3.0790000000000002</v>
      </c>
      <c r="U13" s="68">
        <f t="shared" si="7"/>
        <v>3.0790000000000002</v>
      </c>
      <c r="V13" s="68">
        <f t="shared" si="7"/>
        <v>3.0790000000000002</v>
      </c>
      <c r="W13" s="68">
        <f t="shared" si="7"/>
        <v>3.0790000000000002</v>
      </c>
      <c r="X13" s="68">
        <f t="shared" si="7"/>
        <v>3.0790000000000002</v>
      </c>
      <c r="Y13" s="68">
        <f t="shared" si="7"/>
        <v>3.0790000000000002</v>
      </c>
      <c r="Z13" s="68">
        <f t="shared" si="7"/>
        <v>3.0790000000000002</v>
      </c>
      <c r="AA13" s="68">
        <f t="shared" si="7"/>
        <v>3.0790000000000002</v>
      </c>
      <c r="AB13" s="68">
        <f t="shared" si="7"/>
        <v>3.0790000000000002</v>
      </c>
    </row>
    <row r="14" spans="2:28" x14ac:dyDescent="0.25">
      <c r="B14" s="12" t="s">
        <v>55</v>
      </c>
      <c r="C14" s="64">
        <f t="shared" ref="C14:I14" si="8">C7-C13</f>
        <v>-1.3187889999999998</v>
      </c>
      <c r="D14" s="70">
        <f t="shared" si="8"/>
        <v>-1.1497930000000001</v>
      </c>
      <c r="E14" s="64">
        <f t="shared" si="8"/>
        <v>-1.3469010000000001</v>
      </c>
      <c r="F14" s="70">
        <f t="shared" si="8"/>
        <v>-2.4110906000000005</v>
      </c>
      <c r="G14" s="64">
        <f t="shared" si="8"/>
        <v>-0.2669400000000004</v>
      </c>
      <c r="H14" s="70">
        <f t="shared" si="8"/>
        <v>2.3129400000000002</v>
      </c>
      <c r="I14" s="64">
        <f t="shared" si="8"/>
        <v>1.2000000000000899E-2</v>
      </c>
      <c r="J14" s="71"/>
      <c r="K14" s="68"/>
      <c r="L14" s="68"/>
      <c r="M14" s="68"/>
      <c r="N14" s="64">
        <f>N7-N13</f>
        <v>-2.841869</v>
      </c>
      <c r="O14" s="64">
        <f>O7-O13</f>
        <v>-2.4685820000000001</v>
      </c>
      <c r="P14" s="64">
        <f>P7-P13</f>
        <v>-3.7579915999999995</v>
      </c>
      <c r="Q14" s="64">
        <f>Q7-Q13</f>
        <v>2.0460000000000016</v>
      </c>
      <c r="R14" s="64">
        <f>R7-R13</f>
        <v>3.2667000000000006</v>
      </c>
      <c r="S14" s="64">
        <f t="shared" ref="S14:AB14" si="9">S7-S13</f>
        <v>4.8531250000000004</v>
      </c>
      <c r="T14" s="64">
        <f t="shared" si="9"/>
        <v>6.8361562500000002</v>
      </c>
      <c r="U14" s="64">
        <f t="shared" si="9"/>
        <v>9.3149453125000008</v>
      </c>
      <c r="V14" s="64">
        <f t="shared" si="9"/>
        <v>12.413431640625001</v>
      </c>
      <c r="W14" s="64">
        <f t="shared" si="9"/>
        <v>16.286539550781253</v>
      </c>
      <c r="X14" s="64">
        <f t="shared" si="9"/>
        <v>21.127924438476565</v>
      </c>
      <c r="Y14" s="64">
        <f t="shared" si="9"/>
        <v>27.179655548095706</v>
      </c>
      <c r="Z14" s="64">
        <f t="shared" si="9"/>
        <v>34.744319435119635</v>
      </c>
      <c r="AA14" s="64">
        <f t="shared" si="9"/>
        <v>44.200149293899543</v>
      </c>
      <c r="AB14" s="64">
        <f t="shared" si="9"/>
        <v>56.019936617374427</v>
      </c>
    </row>
    <row r="15" spans="2:28" x14ac:dyDescent="0.25">
      <c r="B15" t="s">
        <v>23</v>
      </c>
      <c r="C15" s="67">
        <v>1.1476E-2</v>
      </c>
      <c r="D15" s="73">
        <f>O15-C15</f>
        <v>1.4870999999999999E-2</v>
      </c>
      <c r="E15" s="67">
        <v>1.9810000000000001E-3</v>
      </c>
      <c r="F15" s="73">
        <f>P15-E15</f>
        <v>2.5770000000000003E-3</v>
      </c>
      <c r="G15" s="67">
        <v>1.7819999999999999E-3</v>
      </c>
      <c r="H15" s="73">
        <f>Q15-G15</f>
        <v>4.0218000000000004E-2</v>
      </c>
      <c r="I15" s="68">
        <v>3.0000000000000001E-3</v>
      </c>
      <c r="J15" s="71"/>
      <c r="K15" s="68"/>
      <c r="L15" s="68"/>
      <c r="M15" s="68"/>
      <c r="N15" s="67">
        <v>2.3914999999999999E-2</v>
      </c>
      <c r="O15" s="67">
        <v>2.6346999999999999E-2</v>
      </c>
      <c r="P15" s="67">
        <v>4.5580000000000004E-3</v>
      </c>
      <c r="Q15" s="67">
        <f>0.002+0.04</f>
        <v>4.2000000000000003E-2</v>
      </c>
      <c r="R15" s="68">
        <f>Q15*1.08</f>
        <v>4.5360000000000004E-2</v>
      </c>
      <c r="S15" s="68">
        <f t="shared" ref="S15:AB15" si="10">R15*1.08</f>
        <v>4.8988800000000006E-2</v>
      </c>
      <c r="T15" s="68">
        <f t="shared" si="10"/>
        <v>5.2907904000000013E-2</v>
      </c>
      <c r="U15" s="68">
        <f t="shared" si="10"/>
        <v>5.7140536320000018E-2</v>
      </c>
      <c r="V15" s="68">
        <f t="shared" si="10"/>
        <v>6.1711779225600026E-2</v>
      </c>
      <c r="W15" s="68">
        <f t="shared" si="10"/>
        <v>6.6648721563648039E-2</v>
      </c>
      <c r="X15" s="68">
        <f t="shared" si="10"/>
        <v>7.1980619288739889E-2</v>
      </c>
      <c r="Y15" s="68">
        <f t="shared" si="10"/>
        <v>7.7739068831839078E-2</v>
      </c>
      <c r="Z15" s="68">
        <f t="shared" si="10"/>
        <v>8.3958194338386208E-2</v>
      </c>
      <c r="AA15" s="68">
        <f t="shared" si="10"/>
        <v>9.0674849885457112E-2</v>
      </c>
      <c r="AB15" s="68">
        <f t="shared" si="10"/>
        <v>9.7928837876293681E-2</v>
      </c>
    </row>
    <row r="16" spans="2:28" x14ac:dyDescent="0.25">
      <c r="B16" s="12" t="s">
        <v>26</v>
      </c>
      <c r="C16" s="64">
        <f t="shared" ref="C16:I16" si="11">C14-C15</f>
        <v>-1.3302649999999998</v>
      </c>
      <c r="D16" s="70">
        <f t="shared" si="11"/>
        <v>-1.1646640000000001</v>
      </c>
      <c r="E16" s="64">
        <f t="shared" si="11"/>
        <v>-1.3488820000000001</v>
      </c>
      <c r="F16" s="70">
        <f t="shared" si="11"/>
        <v>-2.4136676000000006</v>
      </c>
      <c r="G16" s="64">
        <f t="shared" si="11"/>
        <v>-0.2687220000000004</v>
      </c>
      <c r="H16" s="70">
        <f t="shared" si="11"/>
        <v>2.2727220000000004</v>
      </c>
      <c r="I16" s="64">
        <f t="shared" si="11"/>
        <v>9.0000000000008996E-3</v>
      </c>
      <c r="J16" s="71"/>
      <c r="K16" s="68"/>
      <c r="L16" s="68"/>
      <c r="M16" s="68"/>
      <c r="N16" s="64">
        <f>N14-N15</f>
        <v>-2.8657840000000001</v>
      </c>
      <c r="O16" s="64">
        <f>O14-O15</f>
        <v>-2.494929</v>
      </c>
      <c r="P16" s="64">
        <f>P14-P15</f>
        <v>-3.7625495999999994</v>
      </c>
      <c r="Q16" s="64">
        <f>Q14-Q15</f>
        <v>2.0040000000000018</v>
      </c>
      <c r="R16" s="64">
        <f>R14-R15</f>
        <v>3.2213400000000005</v>
      </c>
      <c r="S16" s="64">
        <f t="shared" ref="S16:AB16" si="12">S14-S15</f>
        <v>4.8041362000000003</v>
      </c>
      <c r="T16" s="64">
        <f t="shared" si="12"/>
        <v>6.7832483459999997</v>
      </c>
      <c r="U16" s="64">
        <f t="shared" si="12"/>
        <v>9.2578047761800004</v>
      </c>
      <c r="V16" s="64">
        <f t="shared" si="12"/>
        <v>12.351719861399401</v>
      </c>
      <c r="W16" s="64">
        <f t="shared" si="12"/>
        <v>16.219890829217604</v>
      </c>
      <c r="X16" s="64">
        <f t="shared" si="12"/>
        <v>21.055943819187824</v>
      </c>
      <c r="Y16" s="64">
        <f t="shared" si="12"/>
        <v>27.101916479263867</v>
      </c>
      <c r="Z16" s="64">
        <f t="shared" si="12"/>
        <v>34.660361240781249</v>
      </c>
      <c r="AA16" s="64">
        <f t="shared" si="12"/>
        <v>44.109474444014083</v>
      </c>
      <c r="AB16" s="64">
        <f t="shared" si="12"/>
        <v>55.922007779498131</v>
      </c>
    </row>
    <row r="17" spans="2:61" x14ac:dyDescent="0.25">
      <c r="B17" t="s">
        <v>24</v>
      </c>
      <c r="C17" s="67">
        <v>6.9477999999999998E-2</v>
      </c>
      <c r="D17" s="73">
        <f>O17-C17</f>
        <v>0.27539800000000003</v>
      </c>
      <c r="E17" s="67">
        <v>0</v>
      </c>
      <c r="F17" s="73">
        <f>P17-E17</f>
        <v>0</v>
      </c>
      <c r="G17" s="67">
        <v>0</v>
      </c>
      <c r="H17" s="73">
        <f>Q17-G17</f>
        <v>0</v>
      </c>
      <c r="I17" s="67">
        <v>0</v>
      </c>
      <c r="J17" s="73"/>
      <c r="K17" s="67"/>
      <c r="L17" s="67"/>
      <c r="M17" s="67"/>
      <c r="N17" s="67">
        <v>5.2276999999999997E-2</v>
      </c>
      <c r="O17" s="67">
        <v>0.34487600000000002</v>
      </c>
      <c r="P17" s="67">
        <v>0</v>
      </c>
      <c r="Q17" s="67">
        <v>0</v>
      </c>
      <c r="R17" s="67">
        <v>-1</v>
      </c>
      <c r="S17" s="67">
        <v>0</v>
      </c>
      <c r="T17" s="67">
        <v>1</v>
      </c>
      <c r="U17" s="67">
        <v>2</v>
      </c>
      <c r="V17" s="67">
        <v>3</v>
      </c>
      <c r="W17" s="67">
        <v>4</v>
      </c>
      <c r="X17" s="67">
        <v>5</v>
      </c>
      <c r="Y17" s="67">
        <v>6</v>
      </c>
      <c r="Z17" s="67">
        <v>7</v>
      </c>
      <c r="AA17" s="67">
        <v>8</v>
      </c>
      <c r="AB17" s="67">
        <v>9</v>
      </c>
    </row>
    <row r="18" spans="2:61" x14ac:dyDescent="0.25">
      <c r="B18" s="12" t="s">
        <v>25</v>
      </c>
      <c r="C18" s="64">
        <f t="shared" ref="C18:I18" si="13">C16+C17</f>
        <v>-1.2607869999999999</v>
      </c>
      <c r="D18" s="70">
        <f t="shared" si="13"/>
        <v>-0.88926600000000011</v>
      </c>
      <c r="E18" s="64">
        <f t="shared" si="13"/>
        <v>-1.3488820000000001</v>
      </c>
      <c r="F18" s="70">
        <f t="shared" si="13"/>
        <v>-2.4136676000000006</v>
      </c>
      <c r="G18" s="64">
        <f t="shared" si="13"/>
        <v>-0.2687220000000004</v>
      </c>
      <c r="H18" s="70">
        <f t="shared" si="13"/>
        <v>2.2727220000000004</v>
      </c>
      <c r="I18" s="64">
        <f t="shared" si="13"/>
        <v>9.0000000000008996E-3</v>
      </c>
      <c r="J18" s="71"/>
      <c r="K18" s="68"/>
      <c r="L18" s="68"/>
      <c r="M18" s="68"/>
      <c r="N18" s="64">
        <f>N16+N17</f>
        <v>-2.813507</v>
      </c>
      <c r="O18" s="64">
        <f>O16+O17</f>
        <v>-2.1500529999999998</v>
      </c>
      <c r="P18" s="64">
        <f>P16+P17</f>
        <v>-3.7625495999999994</v>
      </c>
      <c r="Q18" s="64">
        <f>Q16+Q17</f>
        <v>2.0040000000000018</v>
      </c>
      <c r="R18" s="64">
        <f>R16+R17</f>
        <v>2.2213400000000005</v>
      </c>
      <c r="S18" s="64">
        <f t="shared" ref="S18:AB18" si="14">S16+S17</f>
        <v>4.8041362000000003</v>
      </c>
      <c r="T18" s="64">
        <f t="shared" si="14"/>
        <v>7.7832483459999997</v>
      </c>
      <c r="U18" s="64">
        <f t="shared" si="14"/>
        <v>11.25780477618</v>
      </c>
      <c r="V18" s="64">
        <f t="shared" si="14"/>
        <v>15.351719861399401</v>
      </c>
      <c r="W18" s="64">
        <f t="shared" si="14"/>
        <v>20.219890829217604</v>
      </c>
      <c r="X18" s="64">
        <f t="shared" si="14"/>
        <v>26.055943819187824</v>
      </c>
      <c r="Y18" s="64">
        <f t="shared" si="14"/>
        <v>33.101916479263863</v>
      </c>
      <c r="Z18" s="64">
        <f t="shared" si="14"/>
        <v>41.660361240781249</v>
      </c>
      <c r="AA18" s="64">
        <f t="shared" si="14"/>
        <v>52.109474444014083</v>
      </c>
      <c r="AB18" s="64">
        <f t="shared" si="14"/>
        <v>64.922007779498131</v>
      </c>
      <c r="AC18" s="54">
        <f t="shared" ref="AC18:BI18" si="15">AB18*(1+$AE$22)</f>
        <v>63.948177662805655</v>
      </c>
      <c r="AD18" s="54">
        <f t="shared" si="15"/>
        <v>62.988954997863573</v>
      </c>
      <c r="AE18" s="54">
        <f t="shared" si="15"/>
        <v>62.044120672895616</v>
      </c>
      <c r="AF18" s="54">
        <f t="shared" si="15"/>
        <v>61.113458862802183</v>
      </c>
      <c r="AG18" s="54">
        <f t="shared" si="15"/>
        <v>60.196756979860147</v>
      </c>
      <c r="AH18" s="54">
        <f t="shared" si="15"/>
        <v>59.293805625162243</v>
      </c>
      <c r="AI18" s="54">
        <f t="shared" si="15"/>
        <v>58.404398540784811</v>
      </c>
      <c r="AJ18" s="54">
        <f t="shared" si="15"/>
        <v>57.528332562673036</v>
      </c>
      <c r="AK18" s="54">
        <f t="shared" si="15"/>
        <v>56.665407574232937</v>
      </c>
      <c r="AL18" s="54">
        <f t="shared" si="15"/>
        <v>55.815426460619442</v>
      </c>
      <c r="AM18" s="54">
        <f t="shared" si="15"/>
        <v>54.978195063710146</v>
      </c>
      <c r="AN18" s="54">
        <f t="shared" si="15"/>
        <v>54.153522137754493</v>
      </c>
      <c r="AO18" s="54">
        <f t="shared" si="15"/>
        <v>53.341219305688178</v>
      </c>
      <c r="AP18" s="54">
        <f t="shared" si="15"/>
        <v>52.541101016102857</v>
      </c>
      <c r="AQ18" s="54">
        <f t="shared" si="15"/>
        <v>51.752984500861317</v>
      </c>
      <c r="AR18" s="54">
        <f t="shared" si="15"/>
        <v>50.976689733348394</v>
      </c>
      <c r="AS18" s="54">
        <f t="shared" si="15"/>
        <v>50.21203938734817</v>
      </c>
      <c r="AT18" s="54">
        <f t="shared" si="15"/>
        <v>49.458858796537946</v>
      </c>
      <c r="AU18" s="54">
        <f t="shared" si="15"/>
        <v>48.716975914589874</v>
      </c>
      <c r="AV18" s="54">
        <f t="shared" si="15"/>
        <v>47.986221275871024</v>
      </c>
      <c r="AW18" s="54">
        <f t="shared" si="15"/>
        <v>47.266427956732961</v>
      </c>
      <c r="AX18" s="54">
        <f t="shared" si="15"/>
        <v>46.557431537381966</v>
      </c>
      <c r="AY18" s="54">
        <f t="shared" si="15"/>
        <v>45.859070064321237</v>
      </c>
      <c r="AZ18" s="54">
        <f t="shared" si="15"/>
        <v>45.171184013356417</v>
      </c>
      <c r="BA18" s="54">
        <f t="shared" si="15"/>
        <v>44.49361625315607</v>
      </c>
      <c r="BB18" s="54">
        <f t="shared" si="15"/>
        <v>43.826212009358727</v>
      </c>
      <c r="BC18" s="54">
        <f t="shared" si="15"/>
        <v>43.168818829218345</v>
      </c>
      <c r="BD18" s="54">
        <f t="shared" si="15"/>
        <v>42.521286546780068</v>
      </c>
      <c r="BE18" s="54">
        <f t="shared" si="15"/>
        <v>41.88346724857837</v>
      </c>
      <c r="BF18" s="54">
        <f t="shared" si="15"/>
        <v>41.255215239849697</v>
      </c>
      <c r="BG18" s="54">
        <f t="shared" si="15"/>
        <v>40.636387011251948</v>
      </c>
      <c r="BH18" s="54">
        <f t="shared" si="15"/>
        <v>40.026841206083169</v>
      </c>
      <c r="BI18" s="54">
        <f t="shared" si="15"/>
        <v>39.426438587991925</v>
      </c>
    </row>
    <row r="19" spans="2:61" x14ac:dyDescent="0.25">
      <c r="B19" t="s">
        <v>32</v>
      </c>
      <c r="C19" s="67">
        <f t="shared" ref="C19:I19" si="16">(C18/C20)</f>
        <v>-5.8309467350935564E-3</v>
      </c>
      <c r="D19" s="73">
        <f t="shared" si="16"/>
        <v>-3.6932717437238396E-3</v>
      </c>
      <c r="E19" s="67">
        <f t="shared" si="16"/>
        <v>-3.9258307454951135E-3</v>
      </c>
      <c r="F19" s="73">
        <f t="shared" si="16"/>
        <v>-4.6611916836287381E-3</v>
      </c>
      <c r="G19" s="67">
        <f t="shared" si="16"/>
        <v>-4.0439192608093311E-4</v>
      </c>
      <c r="H19" s="73">
        <f t="shared" si="16"/>
        <v>3.1971802850663715E-3</v>
      </c>
      <c r="I19" s="67">
        <f t="shared" si="16"/>
        <v>1.1621600681801736E-5</v>
      </c>
      <c r="J19" s="71"/>
      <c r="K19" s="68"/>
      <c r="L19" s="68"/>
      <c r="M19" s="68"/>
      <c r="N19" s="67">
        <f>(N18/N20)</f>
        <v>-1.7770826388743045E-2</v>
      </c>
      <c r="O19" s="67">
        <f>(O18/O20)</f>
        <v>-8.9295328871323888E-3</v>
      </c>
      <c r="P19" s="67">
        <f>(P18/P20)</f>
        <v>-7.2661061136838519E-3</v>
      </c>
      <c r="Q19" s="67">
        <f>(Q18/Q20)</f>
        <v>2.8191522285932963E-3</v>
      </c>
      <c r="R19" s="67">
        <f>(R18/R20)</f>
        <v>3.1248980097122897E-3</v>
      </c>
      <c r="S19" s="67">
        <f t="shared" ref="S19:AB19" si="17">(S18/S20)</f>
        <v>6.7582790791894803E-3</v>
      </c>
      <c r="T19" s="67">
        <f t="shared" si="17"/>
        <v>1.0949182594970542E-2</v>
      </c>
      <c r="U19" s="67">
        <f t="shared" si="17"/>
        <v>1.583705859472858E-2</v>
      </c>
      <c r="V19" s="67">
        <f t="shared" si="17"/>
        <v>2.1596225179642742E-2</v>
      </c>
      <c r="W19" s="67">
        <f t="shared" si="17"/>
        <v>2.8444585974601751E-2</v>
      </c>
      <c r="X19" s="67">
        <f t="shared" si="17"/>
        <v>3.6654526989004496E-2</v>
      </c>
      <c r="Y19" s="67">
        <f t="shared" si="17"/>
        <v>4.6566537731150597E-2</v>
      </c>
      <c r="Z19" s="67">
        <f t="shared" si="17"/>
        <v>5.8606237642689692E-2</v>
      </c>
      <c r="AA19" s="67">
        <f t="shared" si="17"/>
        <v>7.330565918646087E-2</v>
      </c>
      <c r="AB19" s="67">
        <f t="shared" si="17"/>
        <v>9.1329851754652344E-2</v>
      </c>
    </row>
    <row r="20" spans="2:61" x14ac:dyDescent="0.25">
      <c r="B20" t="s">
        <v>2</v>
      </c>
      <c r="C20" s="67">
        <v>216.223378</v>
      </c>
      <c r="D20" s="73">
        <f>O20</f>
        <v>240.78000800000001</v>
      </c>
      <c r="E20" s="67">
        <v>343.59148099999999</v>
      </c>
      <c r="F20" s="73">
        <f>P20</f>
        <v>517.822</v>
      </c>
      <c r="G20" s="67">
        <v>664.50881600000002</v>
      </c>
      <c r="H20" s="71">
        <f>Q20</f>
        <v>710.85199999999998</v>
      </c>
      <c r="I20" s="68">
        <v>774.42</v>
      </c>
      <c r="J20" s="71"/>
      <c r="K20" s="68"/>
      <c r="L20" s="68"/>
      <c r="M20" s="68"/>
      <c r="N20" s="67">
        <v>158.321675</v>
      </c>
      <c r="O20" s="67">
        <v>240.78000800000001</v>
      </c>
      <c r="P20" s="67">
        <v>517.822</v>
      </c>
      <c r="Q20" s="67">
        <v>710.85199999999998</v>
      </c>
      <c r="R20" s="67">
        <f>Q20</f>
        <v>710.85199999999998</v>
      </c>
      <c r="S20" s="67">
        <f t="shared" ref="S20:AB20" si="18">R20</f>
        <v>710.85199999999998</v>
      </c>
      <c r="T20" s="67">
        <f t="shared" si="18"/>
        <v>710.85199999999998</v>
      </c>
      <c r="U20" s="67">
        <f t="shared" si="18"/>
        <v>710.85199999999998</v>
      </c>
      <c r="V20" s="67">
        <f t="shared" si="18"/>
        <v>710.85199999999998</v>
      </c>
      <c r="W20" s="67">
        <f t="shared" si="18"/>
        <v>710.85199999999998</v>
      </c>
      <c r="X20" s="67">
        <f t="shared" si="18"/>
        <v>710.85199999999998</v>
      </c>
      <c r="Y20" s="67">
        <f t="shared" si="18"/>
        <v>710.85199999999998</v>
      </c>
      <c r="Z20" s="67">
        <f t="shared" si="18"/>
        <v>710.85199999999998</v>
      </c>
      <c r="AA20" s="67">
        <f t="shared" si="18"/>
        <v>710.85199999999998</v>
      </c>
      <c r="AB20" s="67">
        <f t="shared" si="18"/>
        <v>710.85199999999998</v>
      </c>
    </row>
    <row r="22" spans="2:61" x14ac:dyDescent="0.25">
      <c r="B22" t="s">
        <v>28</v>
      </c>
      <c r="C22" s="16">
        <f t="shared" ref="C22:H22" si="19">C7/C4</f>
        <v>-14.275179741680983</v>
      </c>
      <c r="D22" s="34">
        <f t="shared" si="19"/>
        <v>-14.508275395311639</v>
      </c>
      <c r="E22" s="16">
        <f t="shared" si="19"/>
        <v>-12.698512630833399</v>
      </c>
      <c r="F22" s="34">
        <f t="shared" si="19"/>
        <v>-13.024284121502188</v>
      </c>
      <c r="G22" s="16">
        <f t="shared" si="19"/>
        <v>0.33592708936226096</v>
      </c>
      <c r="H22" s="34">
        <f t="shared" si="19"/>
        <v>0.30721802370732998</v>
      </c>
      <c r="I22" s="37">
        <v>0.31</v>
      </c>
      <c r="N22" s="16">
        <f>N7/N4</f>
        <v>-110.76539892517569</v>
      </c>
      <c r="O22" s="16">
        <f>O7/O4</f>
        <v>-14.393681576477949</v>
      </c>
      <c r="P22" s="16">
        <f>P7/P4</f>
        <v>-12.940622473726757</v>
      </c>
      <c r="Q22" s="16">
        <f>Q7/Q4</f>
        <v>0.31295798729848567</v>
      </c>
      <c r="R22" s="16">
        <f>R7/R4</f>
        <v>0.31</v>
      </c>
      <c r="S22" s="16">
        <f t="shared" ref="S22:AB22" si="20">S7/S4</f>
        <v>0.31</v>
      </c>
      <c r="T22" s="16">
        <f t="shared" si="20"/>
        <v>0.31</v>
      </c>
      <c r="U22" s="16">
        <f t="shared" si="20"/>
        <v>0.31</v>
      </c>
      <c r="V22" s="16">
        <f t="shared" si="20"/>
        <v>0.31</v>
      </c>
      <c r="W22" s="16">
        <f t="shared" si="20"/>
        <v>0.31</v>
      </c>
      <c r="X22" s="16">
        <f t="shared" si="20"/>
        <v>0.31</v>
      </c>
      <c r="Y22" s="16">
        <f t="shared" si="20"/>
        <v>0.31</v>
      </c>
      <c r="Z22" s="16">
        <f t="shared" si="20"/>
        <v>0.31</v>
      </c>
      <c r="AA22" s="16">
        <f t="shared" si="20"/>
        <v>0.31</v>
      </c>
      <c r="AB22" s="16">
        <f t="shared" si="20"/>
        <v>0.31</v>
      </c>
      <c r="AD22" s="42" t="s">
        <v>120</v>
      </c>
      <c r="AE22" s="47">
        <v>-1.4999999999999999E-2</v>
      </c>
    </row>
    <row r="23" spans="2:61" x14ac:dyDescent="0.25">
      <c r="B23" t="s">
        <v>29</v>
      </c>
      <c r="C23" s="16">
        <f t="shared" ref="C23:H23" si="21">C14/C4</f>
        <v>-83.908443087103137</v>
      </c>
      <c r="D23" s="34">
        <f t="shared" si="21"/>
        <v>-70.743431981787978</v>
      </c>
      <c r="E23" s="16">
        <f t="shared" si="21"/>
        <v>-105.99677343196664</v>
      </c>
      <c r="F23" s="34">
        <f t="shared" si="21"/>
        <v>-65.566872433578993</v>
      </c>
      <c r="G23" s="16">
        <f t="shared" si="21"/>
        <v>-8.1529681794789297E-2</v>
      </c>
      <c r="H23" s="34">
        <f t="shared" si="21"/>
        <v>0.1765353074049438</v>
      </c>
      <c r="I23" s="16">
        <f t="shared" ref="I23" si="22">I14/I4</f>
        <v>1.220504475183167E-3</v>
      </c>
      <c r="N23" s="16">
        <f>N14/N4</f>
        <v>-587.40574617610582</v>
      </c>
      <c r="O23" s="16">
        <f>O14/O4</f>
        <v>-77.215577103534571</v>
      </c>
      <c r="P23" s="16">
        <f>P14/P4</f>
        <v>-75.949708973322544</v>
      </c>
      <c r="Q23" s="16">
        <f>Q14/Q4</f>
        <v>0.12493893502686867</v>
      </c>
      <c r="R23" s="16">
        <f>R14/R4</f>
        <v>0.1595847581827064</v>
      </c>
      <c r="S23" s="16">
        <f t="shared" ref="S23:AB23" si="23">S14/S4</f>
        <v>0.18966780654616511</v>
      </c>
      <c r="T23" s="16">
        <f t="shared" si="23"/>
        <v>0.21373424523693207</v>
      </c>
      <c r="U23" s="16">
        <f t="shared" si="23"/>
        <v>0.23298739618954564</v>
      </c>
      <c r="V23" s="16">
        <f t="shared" si="23"/>
        <v>0.24838991695163654</v>
      </c>
      <c r="W23" s="16">
        <f t="shared" si="23"/>
        <v>0.26071193356130923</v>
      </c>
      <c r="X23" s="16">
        <f t="shared" si="23"/>
        <v>0.27056954684904738</v>
      </c>
      <c r="Y23" s="16">
        <f t="shared" si="23"/>
        <v>0.27845563747923791</v>
      </c>
      <c r="Z23" s="16">
        <f t="shared" si="23"/>
        <v>0.28476450998339037</v>
      </c>
      <c r="AA23" s="16">
        <f t="shared" si="23"/>
        <v>0.28981160798671224</v>
      </c>
      <c r="AB23" s="16">
        <f t="shared" si="23"/>
        <v>0.2938492863893698</v>
      </c>
      <c r="AD23" s="43" t="s">
        <v>121</v>
      </c>
      <c r="AE23" s="48">
        <v>0.15</v>
      </c>
    </row>
    <row r="24" spans="2:61" x14ac:dyDescent="0.25">
      <c r="B24" t="s">
        <v>30</v>
      </c>
      <c r="C24" s="16">
        <f t="shared" ref="C24:H24" si="24">C18/C4</f>
        <v>-80.218044156009412</v>
      </c>
      <c r="D24" s="34">
        <f t="shared" si="24"/>
        <v>-54.713960499600077</v>
      </c>
      <c r="E24" s="16">
        <f t="shared" si="24"/>
        <v>-106.15267175572521</v>
      </c>
      <c r="F24" s="34">
        <f t="shared" si="24"/>
        <v>-65.636951023849036</v>
      </c>
      <c r="G24" s="16">
        <f t="shared" si="24"/>
        <v>-8.2073946022549527E-2</v>
      </c>
      <c r="H24" s="34">
        <f t="shared" si="24"/>
        <v>0.17346566573969871</v>
      </c>
      <c r="I24" s="16">
        <f t="shared" ref="I24" si="25">I18/I4</f>
        <v>9.1537835638739822E-4</v>
      </c>
      <c r="N24" s="16">
        <f>N18/N4</f>
        <v>-581.54340636626705</v>
      </c>
      <c r="O24" s="16">
        <f>O18/O4</f>
        <v>-67.252205192367839</v>
      </c>
      <c r="P24" s="16">
        <f>P18/P4</f>
        <v>-76.041827000808397</v>
      </c>
      <c r="Q24" s="16">
        <f>Q18/Q4</f>
        <v>0.12237420615534939</v>
      </c>
      <c r="R24" s="16">
        <f>R18/R4</f>
        <v>0.10851685393258428</v>
      </c>
      <c r="S24" s="16">
        <f t="shared" ref="S24:AB24" si="26">S18/S4</f>
        <v>0.18775324670249144</v>
      </c>
      <c r="T24" s="16">
        <f t="shared" si="26"/>
        <v>0.24334533177528087</v>
      </c>
      <c r="U24" s="16">
        <f t="shared" si="26"/>
        <v>0.28158261091373521</v>
      </c>
      <c r="V24" s="16">
        <f t="shared" si="26"/>
        <v>0.30718438960572514</v>
      </c>
      <c r="W24" s="16">
        <f t="shared" si="26"/>
        <v>0.32367629833502803</v>
      </c>
      <c r="X24" s="16">
        <f t="shared" si="26"/>
        <v>0.33367901008974948</v>
      </c>
      <c r="Y24" s="16">
        <f t="shared" si="26"/>
        <v>0.33912921518476385</v>
      </c>
      <c r="Z24" s="16">
        <f t="shared" si="26"/>
        <v>0.34144840213708594</v>
      </c>
      <c r="AA24" s="16">
        <f t="shared" si="26"/>
        <v>0.3416714834953411</v>
      </c>
      <c r="AB24" s="16">
        <f t="shared" si="26"/>
        <v>0.34054457767904495</v>
      </c>
      <c r="AD24" s="43" t="s">
        <v>122</v>
      </c>
      <c r="AE24" s="49">
        <f>NPV(AE23,Q18:BI18)</f>
        <v>154.42854876708077</v>
      </c>
    </row>
    <row r="25" spans="2:61" x14ac:dyDescent="0.25">
      <c r="B25" t="s">
        <v>31</v>
      </c>
      <c r="C25" s="16">
        <f t="shared" ref="C25:H25" si="27">C17/C16</f>
        <v>-5.222869127579844E-2</v>
      </c>
      <c r="D25" s="34">
        <f t="shared" si="27"/>
        <v>-0.23646133133676323</v>
      </c>
      <c r="E25" s="16">
        <f t="shared" si="27"/>
        <v>0</v>
      </c>
      <c r="F25" s="34">
        <f t="shared" si="27"/>
        <v>0</v>
      </c>
      <c r="G25" s="16">
        <f t="shared" si="27"/>
        <v>0</v>
      </c>
      <c r="H25" s="34">
        <f t="shared" si="27"/>
        <v>0</v>
      </c>
      <c r="I25" s="16">
        <f t="shared" ref="I25" si="28">I17/I16</f>
        <v>0</v>
      </c>
      <c r="N25" s="16">
        <f>N17/N16</f>
        <v>-1.8241779561893007E-2</v>
      </c>
      <c r="O25" s="16">
        <f>O17/O16</f>
        <v>-0.1382307873290182</v>
      </c>
      <c r="P25" s="16">
        <f>P17/P16</f>
        <v>0</v>
      </c>
      <c r="Q25" s="16">
        <f>Q17/Q16</f>
        <v>0</v>
      </c>
      <c r="R25" s="16">
        <f>R17/R16</f>
        <v>-0.31042982113033701</v>
      </c>
      <c r="S25" s="16">
        <f t="shared" ref="S25:AB25" si="29">S17/S16</f>
        <v>0</v>
      </c>
      <c r="T25" s="16">
        <f t="shared" si="29"/>
        <v>0.14742199444749624</v>
      </c>
      <c r="U25" s="16">
        <f t="shared" si="29"/>
        <v>0.21603393551200478</v>
      </c>
      <c r="V25" s="16">
        <f t="shared" si="29"/>
        <v>0.24288115611942901</v>
      </c>
      <c r="W25" s="16">
        <f t="shared" si="29"/>
        <v>0.24661078438300113</v>
      </c>
      <c r="X25" s="16">
        <f t="shared" si="29"/>
        <v>0.23746263966774117</v>
      </c>
      <c r="Y25" s="16">
        <f t="shared" si="29"/>
        <v>0.22138655783219985</v>
      </c>
      <c r="Z25" s="16">
        <f t="shared" si="29"/>
        <v>0.20195981084478215</v>
      </c>
      <c r="AA25" s="16">
        <f t="shared" si="29"/>
        <v>0.18136693082013466</v>
      </c>
      <c r="AB25" s="16">
        <f t="shared" si="29"/>
        <v>0.1609384275952184</v>
      </c>
      <c r="AD25" s="43" t="s">
        <v>6</v>
      </c>
      <c r="AE25" s="50">
        <f>Main!C11</f>
        <v>7</v>
      </c>
    </row>
    <row r="26" spans="2:61" x14ac:dyDescent="0.25">
      <c r="AD26" s="43" t="s">
        <v>123</v>
      </c>
      <c r="AE26" s="51">
        <f>AE25+AE24</f>
        <v>161.42854876708077</v>
      </c>
    </row>
    <row r="27" spans="2:61" x14ac:dyDescent="0.25">
      <c r="B27" t="s">
        <v>93</v>
      </c>
      <c r="C27" s="15">
        <v>0</v>
      </c>
      <c r="D27" s="35">
        <f t="shared" ref="D27:I27" si="30">D4/C4-1</f>
        <v>3.410320035630221E-2</v>
      </c>
      <c r="E27" s="37">
        <f t="shared" si="30"/>
        <v>-0.21817510613425217</v>
      </c>
      <c r="F27" s="35">
        <f t="shared" si="30"/>
        <v>1.893916738805383</v>
      </c>
      <c r="G27" s="17">
        <f t="shared" si="30"/>
        <v>88.036657330106323</v>
      </c>
      <c r="H27" s="35">
        <f t="shared" si="30"/>
        <v>3.0016111076326801</v>
      </c>
      <c r="I27" s="17">
        <f t="shared" si="30"/>
        <v>-0.24957191176363958</v>
      </c>
      <c r="AD27" s="45" t="s">
        <v>124</v>
      </c>
      <c r="AE27" s="53">
        <f>AE26/Main!C7</f>
        <v>3.1040370104811132</v>
      </c>
      <c r="AG27" s="96"/>
    </row>
    <row r="28" spans="2:61" s="12" customFormat="1" x14ac:dyDescent="0.25">
      <c r="B28" s="12" t="s">
        <v>97</v>
      </c>
      <c r="C28" s="91">
        <v>0</v>
      </c>
      <c r="D28" s="92">
        <v>0</v>
      </c>
      <c r="E28" s="93">
        <f>E4/C4-1</f>
        <v>-0.19151237513520392</v>
      </c>
      <c r="F28" s="94">
        <f>F4/D4-1</f>
        <v>1.2625361471728298</v>
      </c>
      <c r="G28" s="93">
        <f>G4/E4-1</f>
        <v>256.6646730148737</v>
      </c>
      <c r="H28" s="94">
        <f>H4/F4-1</f>
        <v>355.29007695863817</v>
      </c>
      <c r="I28" s="93">
        <f>I4/G4-1</f>
        <v>2.0029213733661768</v>
      </c>
      <c r="J28" s="61"/>
      <c r="K28" s="93">
        <f>K4/I4-1</f>
        <v>-0.7457282343368592</v>
      </c>
      <c r="N28" s="91">
        <v>0</v>
      </c>
      <c r="O28" s="93">
        <f>O4/N4-1</f>
        <v>5.6081025217031826</v>
      </c>
      <c r="P28" s="93">
        <f>P4/O4-1</f>
        <v>0.54770096965905557</v>
      </c>
      <c r="Q28" s="93">
        <f>Q4/P4-1</f>
        <v>329.9620048504446</v>
      </c>
      <c r="R28" s="93">
        <f>R4/Q4-1</f>
        <v>0.25</v>
      </c>
      <c r="S28" s="93">
        <f t="shared" ref="S28:T28" si="31">S4/R4-1</f>
        <v>0.25</v>
      </c>
      <c r="T28" s="93">
        <f t="shared" si="31"/>
        <v>0.25</v>
      </c>
      <c r="U28" s="93">
        <f t="shared" ref="U28:AB28" si="32">U4/T4-1</f>
        <v>0.25</v>
      </c>
      <c r="V28" s="93">
        <f t="shared" si="32"/>
        <v>0.25</v>
      </c>
      <c r="W28" s="93">
        <f t="shared" si="32"/>
        <v>0.25</v>
      </c>
      <c r="X28" s="93">
        <f t="shared" si="32"/>
        <v>0.25</v>
      </c>
      <c r="Y28" s="93">
        <f t="shared" si="32"/>
        <v>0.25</v>
      </c>
      <c r="Z28" s="93">
        <f t="shared" si="32"/>
        <v>0.25</v>
      </c>
      <c r="AA28" s="93">
        <f t="shared" si="32"/>
        <v>0.25</v>
      </c>
      <c r="AB28" s="93">
        <f t="shared" si="32"/>
        <v>0.25</v>
      </c>
      <c r="AD28" s="45" t="s">
        <v>125</v>
      </c>
      <c r="AE28" s="95">
        <f>Main!C6</f>
        <v>0.25</v>
      </c>
    </row>
    <row r="29" spans="2:61" x14ac:dyDescent="0.25">
      <c r="B29" t="s">
        <v>128</v>
      </c>
      <c r="C29" s="15">
        <v>0</v>
      </c>
      <c r="D29" s="36">
        <f t="shared" ref="D29:I29" si="33">D18/C18-1</f>
        <v>-0.29467388226560065</v>
      </c>
      <c r="E29" s="17">
        <f t="shared" si="33"/>
        <v>0.51684872692760098</v>
      </c>
      <c r="F29" s="36">
        <f t="shared" si="33"/>
        <v>0.78938380080689075</v>
      </c>
      <c r="G29" s="17">
        <f t="shared" si="33"/>
        <v>-0.8886665255812356</v>
      </c>
      <c r="H29" s="36">
        <f t="shared" si="33"/>
        <v>-9.4575211556924881</v>
      </c>
      <c r="I29" s="17">
        <f t="shared" si="33"/>
        <v>-0.99603999081277828</v>
      </c>
      <c r="N29" s="15">
        <v>0</v>
      </c>
      <c r="O29" s="15">
        <v>0</v>
      </c>
      <c r="P29" s="15">
        <v>0</v>
      </c>
      <c r="Q29" s="15">
        <v>0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D29" s="43"/>
      <c r="AE29" s="44"/>
    </row>
    <row r="30" spans="2:61" s="12" customFormat="1" x14ac:dyDescent="0.25">
      <c r="B30" s="12" t="s">
        <v>129</v>
      </c>
      <c r="C30" s="91">
        <v>0</v>
      </c>
      <c r="D30" s="92">
        <v>0</v>
      </c>
      <c r="E30" s="93">
        <f>E18/C18-1</f>
        <v>6.9873023754210895E-2</v>
      </c>
      <c r="F30" s="94">
        <f>F18/D18-1</f>
        <v>1.7142245402388041</v>
      </c>
      <c r="G30" s="93">
        <f>G18/E18-1</f>
        <v>-0.80078168438751474</v>
      </c>
      <c r="H30" s="94">
        <f>H18/F18-1</f>
        <v>-1.941605215233448</v>
      </c>
      <c r="I30" s="93">
        <f>I18/G18-1</f>
        <v>-1.0334918614776643</v>
      </c>
      <c r="J30" s="61"/>
      <c r="N30" s="91">
        <v>0</v>
      </c>
      <c r="O30" s="93">
        <f>O18/N18-1</f>
        <v>-0.23581032497875432</v>
      </c>
      <c r="P30" s="93">
        <f>P18/O18-1</f>
        <v>0.74997993072728897</v>
      </c>
      <c r="Q30" s="93">
        <f>Q18/P18-1</f>
        <v>-1.5326175633671386</v>
      </c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D30" s="45"/>
      <c r="AE30" s="95"/>
    </row>
    <row r="31" spans="2:61" x14ac:dyDescent="0.25">
      <c r="C31" s="15"/>
      <c r="D31" s="62"/>
      <c r="E31" s="17"/>
      <c r="F31" s="36"/>
      <c r="G31" s="17"/>
      <c r="H31" s="36"/>
      <c r="N31" s="15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D31" s="43"/>
      <c r="AE31" s="44"/>
    </row>
    <row r="32" spans="2:61" x14ac:dyDescent="0.25">
      <c r="AD32" s="46" t="s">
        <v>126</v>
      </c>
      <c r="AE32" s="52">
        <f>AE27/AE28</f>
        <v>12.416148041924453</v>
      </c>
    </row>
    <row r="33" spans="2:17" x14ac:dyDescent="0.25">
      <c r="B33" s="30" t="s">
        <v>68</v>
      </c>
    </row>
    <row r="34" spans="2:17" x14ac:dyDescent="0.25">
      <c r="B34" t="s">
        <v>69</v>
      </c>
      <c r="D34" s="57">
        <v>0.25986100000000001</v>
      </c>
      <c r="E34" s="55">
        <v>7.0184999999999997E-2</v>
      </c>
      <c r="F34" s="57">
        <f t="shared" ref="F34:F40" si="34">P34</f>
        <v>5.5516999999999997E-2</v>
      </c>
      <c r="G34" s="55">
        <v>0.15177399999999999</v>
      </c>
      <c r="H34" s="57">
        <f>Q34</f>
        <v>0.16300000000000001</v>
      </c>
      <c r="I34" s="55">
        <v>8.7999999999999995E-2</v>
      </c>
      <c r="O34" s="55">
        <v>0.25986100000000001</v>
      </c>
      <c r="P34" s="55">
        <v>5.5516999999999997E-2</v>
      </c>
      <c r="Q34" s="55">
        <v>0.16300000000000001</v>
      </c>
    </row>
    <row r="35" spans="2:17" x14ac:dyDescent="0.25">
      <c r="B35" t="s">
        <v>70</v>
      </c>
      <c r="D35" s="57">
        <v>0.44419799999999998</v>
      </c>
      <c r="E35" s="56">
        <v>0</v>
      </c>
      <c r="F35" s="57">
        <f t="shared" si="34"/>
        <v>0</v>
      </c>
      <c r="G35" s="56">
        <v>0</v>
      </c>
      <c r="H35" s="57">
        <f>Q35</f>
        <v>0</v>
      </c>
      <c r="I35" s="40">
        <v>8.7999999999999995E-2</v>
      </c>
      <c r="O35" s="56">
        <v>0.44419799999999998</v>
      </c>
      <c r="P35" s="56">
        <v>0</v>
      </c>
      <c r="Q35" s="56">
        <v>0</v>
      </c>
    </row>
    <row r="36" spans="2:17" x14ac:dyDescent="0.25">
      <c r="B36" t="s">
        <v>71</v>
      </c>
      <c r="D36" s="57">
        <v>0.79053300000000004</v>
      </c>
      <c r="E36" s="55">
        <v>0.74207100000000004</v>
      </c>
      <c r="F36" s="57">
        <f t="shared" si="34"/>
        <v>0.61656</v>
      </c>
      <c r="G36" s="55">
        <v>0.50338899999999998</v>
      </c>
      <c r="H36" s="57">
        <f>Q36</f>
        <v>2.2890000000000001</v>
      </c>
      <c r="I36" s="55">
        <v>2.52</v>
      </c>
      <c r="O36" s="55">
        <v>0.79053300000000004</v>
      </c>
      <c r="P36" s="55">
        <v>0.61656</v>
      </c>
      <c r="Q36" s="55">
        <v>2.2890000000000001</v>
      </c>
    </row>
    <row r="37" spans="2:17" x14ac:dyDescent="0.25">
      <c r="B37" t="s">
        <v>72</v>
      </c>
      <c r="D37" s="57">
        <v>0.38020500000000002</v>
      </c>
      <c r="E37" s="55">
        <v>0.476802</v>
      </c>
      <c r="F37" s="57">
        <f t="shared" si="34"/>
        <v>2.8080000000000002E-3</v>
      </c>
      <c r="G37" s="55">
        <v>0.78258399999999995</v>
      </c>
      <c r="H37" s="57">
        <f t="shared" ref="H37:H54" si="35">Q37</f>
        <v>0.497</v>
      </c>
      <c r="I37" s="55">
        <v>0.71099999999999997</v>
      </c>
      <c r="O37" s="55">
        <v>0.38020500000000002</v>
      </c>
      <c r="P37" s="55">
        <v>2.8080000000000002E-3</v>
      </c>
      <c r="Q37" s="55">
        <v>0.497</v>
      </c>
    </row>
    <row r="38" spans="2:17" x14ac:dyDescent="0.25">
      <c r="B38" t="s">
        <v>73</v>
      </c>
      <c r="D38" s="57">
        <v>0.122765</v>
      </c>
      <c r="E38" s="55">
        <v>0.22198100000000001</v>
      </c>
      <c r="F38" s="57">
        <f t="shared" si="34"/>
        <v>0.19489699999999999</v>
      </c>
      <c r="G38" s="55">
        <v>3.1137700000000001</v>
      </c>
      <c r="H38" s="57">
        <f t="shared" si="35"/>
        <v>2.3319999999999999</v>
      </c>
      <c r="I38" s="55">
        <v>3.2240000000000002</v>
      </c>
      <c r="O38" s="55">
        <v>0.122765</v>
      </c>
      <c r="P38" s="55">
        <v>0.19489699999999999</v>
      </c>
      <c r="Q38" s="55">
        <v>2.3319999999999999</v>
      </c>
    </row>
    <row r="39" spans="2:17" x14ac:dyDescent="0.25">
      <c r="B39" t="s">
        <v>74</v>
      </c>
      <c r="D39" s="57">
        <v>0.17830299999999999</v>
      </c>
      <c r="E39" s="55">
        <v>0.17830199999999999</v>
      </c>
      <c r="F39" s="57">
        <f t="shared" si="34"/>
        <v>0</v>
      </c>
      <c r="G39" s="55">
        <v>0</v>
      </c>
      <c r="H39" s="57">
        <f t="shared" si="35"/>
        <v>0</v>
      </c>
      <c r="I39" s="55">
        <v>0</v>
      </c>
      <c r="O39" s="55">
        <v>0.17830299999999999</v>
      </c>
      <c r="P39" s="55">
        <v>0</v>
      </c>
      <c r="Q39" s="55">
        <v>0</v>
      </c>
    </row>
    <row r="40" spans="2:17" x14ac:dyDescent="0.25">
      <c r="B40" s="12" t="s">
        <v>4</v>
      </c>
      <c r="C40" s="12"/>
      <c r="D40" s="58">
        <v>0.61626300000000001</v>
      </c>
      <c r="E40" s="59">
        <v>1.3517459999999999</v>
      </c>
      <c r="F40" s="58">
        <f t="shared" si="34"/>
        <v>0.465671</v>
      </c>
      <c r="G40" s="59">
        <v>2.214496</v>
      </c>
      <c r="H40" s="58">
        <f t="shared" si="35"/>
        <v>6.3869999999999996</v>
      </c>
      <c r="I40" s="81">
        <v>6.9950000000000001</v>
      </c>
      <c r="J40" s="61"/>
      <c r="K40" s="12"/>
      <c r="L40" s="12"/>
      <c r="M40" s="12"/>
      <c r="N40" s="12"/>
      <c r="O40" s="59">
        <v>0.61626300000000001</v>
      </c>
      <c r="P40" s="59">
        <v>0.465671</v>
      </c>
      <c r="Q40" s="59">
        <v>6.3869999999999996</v>
      </c>
    </row>
    <row r="41" spans="2:17" x14ac:dyDescent="0.25">
      <c r="B41" t="s">
        <v>75</v>
      </c>
      <c r="D41" s="57">
        <v>2.7921279999999999</v>
      </c>
      <c r="E41" s="40">
        <f>SUM(E34:E40)</f>
        <v>3.0410870000000001</v>
      </c>
      <c r="F41" s="57">
        <f>SUM(F34:F40)</f>
        <v>1.335453</v>
      </c>
      <c r="G41" s="40">
        <f>SUM(G34:G40)</f>
        <v>6.7660130000000009</v>
      </c>
      <c r="H41" s="57">
        <f t="shared" si="35"/>
        <v>11.667999999999999</v>
      </c>
      <c r="I41" s="40">
        <f>SUM(I34:I40)</f>
        <v>13.626000000000001</v>
      </c>
      <c r="O41" s="40">
        <f>SUM(O34:O40)</f>
        <v>2.7921279999999999</v>
      </c>
      <c r="P41" s="40">
        <f>SUM(P34:P40)</f>
        <v>1.335453</v>
      </c>
      <c r="Q41" s="40">
        <f>SUM(Q34:Q40)</f>
        <v>11.667999999999999</v>
      </c>
    </row>
    <row r="42" spans="2:17" x14ac:dyDescent="0.25">
      <c r="D42" s="57"/>
      <c r="E42" s="40"/>
      <c r="F42" s="57">
        <f t="shared" ref="F42:F47" si="36">P42</f>
        <v>0</v>
      </c>
      <c r="G42" s="40"/>
      <c r="H42" s="57">
        <f t="shared" si="35"/>
        <v>0</v>
      </c>
      <c r="O42" s="40"/>
      <c r="P42" s="40"/>
      <c r="Q42" s="40"/>
    </row>
    <row r="43" spans="2:17" x14ac:dyDescent="0.25">
      <c r="B43" t="s">
        <v>76</v>
      </c>
      <c r="D43" s="57">
        <v>0.27152300000000001</v>
      </c>
      <c r="E43" s="40">
        <v>0.31251600000000002</v>
      </c>
      <c r="F43" s="57">
        <f t="shared" si="36"/>
        <v>0.38318600000000003</v>
      </c>
      <c r="G43" s="40">
        <v>2.9940030000000002</v>
      </c>
      <c r="H43" s="57">
        <f t="shared" si="35"/>
        <v>3.3149999999999999</v>
      </c>
      <c r="I43" s="40">
        <v>5.0940000000000003</v>
      </c>
      <c r="O43" s="40">
        <v>0.27152300000000001</v>
      </c>
      <c r="P43" s="40">
        <v>0.38318600000000003</v>
      </c>
      <c r="Q43" s="40">
        <v>3.3149999999999999</v>
      </c>
    </row>
    <row r="44" spans="2:17" x14ac:dyDescent="0.25">
      <c r="B44" t="s">
        <v>77</v>
      </c>
      <c r="D44" s="57">
        <v>0</v>
      </c>
      <c r="E44" s="40">
        <v>0</v>
      </c>
      <c r="F44" s="57">
        <f t="shared" si="36"/>
        <v>8.7378999999999998E-2</v>
      </c>
      <c r="G44" s="40">
        <v>0</v>
      </c>
      <c r="H44" s="57">
        <f t="shared" si="35"/>
        <v>0</v>
      </c>
      <c r="I44" s="40">
        <v>0</v>
      </c>
      <c r="O44" s="40">
        <v>0</v>
      </c>
      <c r="P44" s="40">
        <v>8.7378999999999998E-2</v>
      </c>
      <c r="Q44" s="40">
        <v>0</v>
      </c>
    </row>
    <row r="45" spans="2:17" x14ac:dyDescent="0.25">
      <c r="B45" t="s">
        <v>78</v>
      </c>
      <c r="D45" s="57">
        <v>0.101036</v>
      </c>
      <c r="E45" s="40">
        <v>0</v>
      </c>
      <c r="F45" s="57">
        <f t="shared" si="36"/>
        <v>4.895E-3</v>
      </c>
      <c r="G45" s="40">
        <v>0</v>
      </c>
      <c r="H45" s="57">
        <f t="shared" si="35"/>
        <v>0</v>
      </c>
      <c r="I45" s="40">
        <v>2.5999999999999999E-2</v>
      </c>
      <c r="O45" s="40">
        <v>0.101036</v>
      </c>
      <c r="P45" s="40">
        <v>4.895E-3</v>
      </c>
      <c r="Q45" s="40">
        <v>0</v>
      </c>
    </row>
    <row r="46" spans="2:17" x14ac:dyDescent="0.25">
      <c r="B46" t="s">
        <v>79</v>
      </c>
      <c r="D46" s="57">
        <v>0</v>
      </c>
      <c r="E46" s="40">
        <v>0.102697</v>
      </c>
      <c r="F46" s="57">
        <f t="shared" si="36"/>
        <v>0</v>
      </c>
      <c r="G46" s="40">
        <v>0</v>
      </c>
      <c r="H46" s="57">
        <f t="shared" si="35"/>
        <v>0</v>
      </c>
      <c r="I46" s="40">
        <v>0</v>
      </c>
      <c r="O46" s="40">
        <v>0</v>
      </c>
      <c r="P46" s="40">
        <v>0</v>
      </c>
      <c r="Q46" s="40">
        <v>0</v>
      </c>
    </row>
    <row r="47" spans="2:17" x14ac:dyDescent="0.25">
      <c r="B47" t="s">
        <v>80</v>
      </c>
      <c r="D47" s="57">
        <v>0</v>
      </c>
      <c r="E47" s="40">
        <v>0</v>
      </c>
      <c r="F47" s="57">
        <f t="shared" si="36"/>
        <v>0.22625000000000001</v>
      </c>
      <c r="G47" s="40">
        <v>0.22625000000000001</v>
      </c>
      <c r="H47" s="57">
        <f t="shared" si="35"/>
        <v>0</v>
      </c>
      <c r="I47" s="40">
        <v>0</v>
      </c>
      <c r="O47" s="40">
        <v>0</v>
      </c>
      <c r="P47" s="40">
        <v>0.22625000000000001</v>
      </c>
      <c r="Q47" s="40">
        <v>0</v>
      </c>
    </row>
    <row r="48" spans="2:17" x14ac:dyDescent="0.25">
      <c r="B48" t="s">
        <v>130</v>
      </c>
      <c r="D48" s="57">
        <v>0</v>
      </c>
      <c r="E48" s="40">
        <v>0</v>
      </c>
      <c r="F48" s="57">
        <v>0</v>
      </c>
      <c r="G48" s="40">
        <v>0</v>
      </c>
      <c r="H48" s="57">
        <f t="shared" si="35"/>
        <v>1.24</v>
      </c>
      <c r="I48" s="40">
        <v>0</v>
      </c>
      <c r="O48" s="40">
        <v>0</v>
      </c>
      <c r="P48" s="40">
        <v>0</v>
      </c>
      <c r="Q48" s="40">
        <v>1.24</v>
      </c>
    </row>
    <row r="49" spans="2:17" x14ac:dyDescent="0.25">
      <c r="B49" t="s">
        <v>82</v>
      </c>
      <c r="C49" t="s">
        <v>81</v>
      </c>
      <c r="D49" s="57">
        <v>0.185747</v>
      </c>
      <c r="E49" s="40">
        <v>0</v>
      </c>
      <c r="F49" s="57">
        <f>P49</f>
        <v>0</v>
      </c>
      <c r="G49" s="40">
        <v>0</v>
      </c>
      <c r="H49" s="57">
        <f t="shared" si="35"/>
        <v>0</v>
      </c>
      <c r="I49" s="40">
        <v>0.04</v>
      </c>
      <c r="O49" s="40">
        <v>0.185747</v>
      </c>
      <c r="P49" s="40">
        <v>0</v>
      </c>
      <c r="Q49" s="40">
        <v>0</v>
      </c>
    </row>
    <row r="50" spans="2:17" x14ac:dyDescent="0.25">
      <c r="B50" s="12" t="s">
        <v>83</v>
      </c>
      <c r="C50" s="12" t="s">
        <v>81</v>
      </c>
      <c r="D50" s="58">
        <v>0</v>
      </c>
      <c r="E50" s="60">
        <v>0</v>
      </c>
      <c r="F50" s="58">
        <f>P50</f>
        <v>0.104367</v>
      </c>
      <c r="G50" s="60">
        <v>0</v>
      </c>
      <c r="H50" s="57">
        <f t="shared" si="35"/>
        <v>0</v>
      </c>
      <c r="I50" s="60">
        <v>0</v>
      </c>
      <c r="J50" s="61"/>
      <c r="K50" s="12"/>
      <c r="L50" s="12"/>
      <c r="M50" s="12"/>
      <c r="N50" s="12"/>
      <c r="O50" s="60">
        <v>0</v>
      </c>
      <c r="P50" s="60">
        <v>0.104367</v>
      </c>
      <c r="Q50" s="60">
        <v>0</v>
      </c>
    </row>
    <row r="51" spans="2:17" x14ac:dyDescent="0.25">
      <c r="B51" t="s">
        <v>84</v>
      </c>
      <c r="D51" s="57">
        <v>0.55830599999999997</v>
      </c>
      <c r="E51" s="40">
        <f>SUM(E43:E50)</f>
        <v>0.415213</v>
      </c>
      <c r="F51" s="57">
        <f>SUM(F43:F50)</f>
        <v>0.80607700000000004</v>
      </c>
      <c r="G51" s="40">
        <f>SUM(G43:G50)</f>
        <v>3.220253</v>
      </c>
      <c r="H51" s="57">
        <f t="shared" si="35"/>
        <v>4.5549999999999997</v>
      </c>
      <c r="I51" s="40">
        <f>SUM(I43:I50)</f>
        <v>5.16</v>
      </c>
      <c r="O51" s="40">
        <f>SUM(O43:O50)</f>
        <v>0.55830599999999997</v>
      </c>
      <c r="P51" s="40">
        <f>SUM(P43:P50)</f>
        <v>0.80607700000000004</v>
      </c>
      <c r="Q51" s="40">
        <f>SUM(Q43:Q50)</f>
        <v>4.5549999999999997</v>
      </c>
    </row>
    <row r="52" spans="2:17" x14ac:dyDescent="0.25">
      <c r="D52" s="57"/>
      <c r="E52" s="40"/>
      <c r="F52" s="57"/>
      <c r="G52" s="40"/>
      <c r="H52" s="57">
        <f t="shared" si="35"/>
        <v>0</v>
      </c>
      <c r="O52" s="40"/>
      <c r="P52" s="40"/>
      <c r="Q52" s="40"/>
    </row>
    <row r="53" spans="2:17" x14ac:dyDescent="0.25">
      <c r="B53" t="s">
        <v>85</v>
      </c>
      <c r="D53" s="57">
        <v>2.233822</v>
      </c>
      <c r="E53" s="40">
        <v>2.625874</v>
      </c>
      <c r="F53" s="57">
        <f>P53</f>
        <v>0.52937599999999996</v>
      </c>
      <c r="G53" s="40">
        <v>3.54576</v>
      </c>
      <c r="H53" s="57">
        <f t="shared" si="35"/>
        <v>7.1130000000000004</v>
      </c>
      <c r="I53" s="40">
        <v>8.4659999999999993</v>
      </c>
      <c r="O53" s="40">
        <v>2.233822</v>
      </c>
      <c r="P53" s="40">
        <v>0.52937599999999996</v>
      </c>
      <c r="Q53" s="40">
        <v>7.1130000000000004</v>
      </c>
    </row>
    <row r="54" spans="2:17" x14ac:dyDescent="0.25">
      <c r="B54" t="s">
        <v>86</v>
      </c>
      <c r="D54" s="57">
        <v>2.7921279999999999</v>
      </c>
      <c r="E54" s="40">
        <f>E53+E51</f>
        <v>3.0410870000000001</v>
      </c>
      <c r="F54" s="57">
        <f>F53+F51</f>
        <v>1.335453</v>
      </c>
      <c r="G54" s="40">
        <f>G53+G51</f>
        <v>6.7660130000000001</v>
      </c>
      <c r="H54" s="57">
        <f t="shared" si="35"/>
        <v>11.667999999999999</v>
      </c>
      <c r="I54" s="40">
        <f>I53+I51</f>
        <v>13.625999999999999</v>
      </c>
      <c r="O54" s="40">
        <f>O53+O51</f>
        <v>2.7921279999999999</v>
      </c>
      <c r="P54" s="40">
        <f>P53+P51</f>
        <v>1.335453</v>
      </c>
      <c r="Q54" s="40">
        <f>Q53+Q51</f>
        <v>11.667999999999999</v>
      </c>
    </row>
    <row r="55" spans="2:17" x14ac:dyDescent="0.25">
      <c r="D55" s="57"/>
      <c r="E55" s="40"/>
      <c r="F55" s="57"/>
      <c r="G55" s="40"/>
      <c r="H55" s="57"/>
      <c r="O55" s="40"/>
      <c r="P55" s="40"/>
      <c r="Q55" s="40"/>
    </row>
    <row r="56" spans="2:17" x14ac:dyDescent="0.25">
      <c r="B56" t="s">
        <v>143</v>
      </c>
      <c r="D56" s="57">
        <f t="shared" ref="D56" si="37">D41-D51</f>
        <v>2.233822</v>
      </c>
      <c r="E56" s="80">
        <f t="shared" ref="E56:F56" si="38">E41-E51</f>
        <v>2.625874</v>
      </c>
      <c r="F56" s="57">
        <f t="shared" si="38"/>
        <v>0.52937599999999996</v>
      </c>
      <c r="G56" s="80">
        <f t="shared" ref="G56:H56" si="39">G41-G51</f>
        <v>3.5457600000000009</v>
      </c>
      <c r="H56" s="57">
        <f t="shared" si="39"/>
        <v>7.1129999999999995</v>
      </c>
      <c r="I56" s="80">
        <f t="shared" ref="I56" si="40">I41-I51</f>
        <v>8.4660000000000011</v>
      </c>
      <c r="O56" s="80">
        <f t="shared" ref="O56:P56" si="41">O41-O51</f>
        <v>2.233822</v>
      </c>
      <c r="P56" s="80">
        <f t="shared" si="41"/>
        <v>0.52937599999999996</v>
      </c>
      <c r="Q56" s="80">
        <f>Q41-Q51</f>
        <v>7.1129999999999995</v>
      </c>
    </row>
    <row r="57" spans="2:17" x14ac:dyDescent="0.25">
      <c r="B57" t="s">
        <v>144</v>
      </c>
      <c r="D57" s="57">
        <f t="shared" ref="D57:H57" si="42">D56/D20</f>
        <v>9.2774396784636708E-3</v>
      </c>
      <c r="E57" s="40">
        <f t="shared" ref="E57" si="43">E56/E20</f>
        <v>7.6424304594443658E-3</v>
      </c>
      <c r="F57" s="57">
        <f t="shared" si="42"/>
        <v>1.0223126865988698E-3</v>
      </c>
      <c r="G57" s="40">
        <f t="shared" si="42"/>
        <v>5.3359111491456885E-3</v>
      </c>
      <c r="H57" s="57">
        <f t="shared" si="42"/>
        <v>1.0006302296399251E-2</v>
      </c>
      <c r="I57" s="40">
        <f t="shared" ref="I57" si="44">I56/I20</f>
        <v>1.0932052374680408E-2</v>
      </c>
      <c r="O57" s="40">
        <f t="shared" ref="O57:P57" si="45">O56/O20</f>
        <v>9.2774396784636708E-3</v>
      </c>
      <c r="P57" s="40">
        <f t="shared" si="45"/>
        <v>1.0223126865988698E-3</v>
      </c>
      <c r="Q57" s="40">
        <f>Q56/Q20</f>
        <v>1.0006302296399251E-2</v>
      </c>
    </row>
    <row r="58" spans="2:17" x14ac:dyDescent="0.25">
      <c r="D58" s="57"/>
      <c r="E58" s="40"/>
      <c r="F58" s="57"/>
      <c r="G58" s="40"/>
      <c r="H58" s="57"/>
      <c r="O58" s="40"/>
      <c r="P58" s="40"/>
      <c r="Q58" s="40"/>
    </row>
    <row r="59" spans="2:17" x14ac:dyDescent="0.25">
      <c r="B59" t="s">
        <v>162</v>
      </c>
      <c r="D59" s="57"/>
      <c r="E59" s="40"/>
      <c r="F59" s="57"/>
      <c r="G59" s="40"/>
      <c r="H59" s="57"/>
      <c r="O59" s="40"/>
      <c r="P59" s="40"/>
      <c r="Q59" s="40"/>
    </row>
    <row r="60" spans="2:17" x14ac:dyDescent="0.25">
      <c r="B60" t="s">
        <v>3</v>
      </c>
      <c r="D60" s="57"/>
      <c r="E60" s="40"/>
      <c r="F60" s="57"/>
      <c r="G60" s="40"/>
      <c r="H60" s="57"/>
      <c r="O60" s="40"/>
      <c r="P60" s="40"/>
      <c r="Q60" s="40"/>
    </row>
    <row r="61" spans="2:17" x14ac:dyDescent="0.25">
      <c r="B61" t="s">
        <v>7</v>
      </c>
      <c r="D61" s="57"/>
      <c r="E61" s="40"/>
      <c r="F61" s="57"/>
      <c r="G61" s="40"/>
      <c r="H61" s="57"/>
      <c r="O61" s="40"/>
      <c r="P61" s="40"/>
      <c r="Q61" s="40"/>
    </row>
    <row r="62" spans="2:17" x14ac:dyDescent="0.25">
      <c r="D62" s="57"/>
      <c r="E62" s="40"/>
      <c r="F62" s="57"/>
      <c r="G62" s="40"/>
      <c r="H62" s="57"/>
      <c r="O62" s="40"/>
      <c r="P62" s="40"/>
      <c r="Q62" s="40"/>
    </row>
    <row r="63" spans="2:17" x14ac:dyDescent="0.25">
      <c r="B63" t="s">
        <v>142</v>
      </c>
      <c r="D63" s="57"/>
      <c r="E63" s="40"/>
      <c r="F63" s="57"/>
      <c r="G63" s="40"/>
      <c r="H63" s="57"/>
      <c r="O63" s="40"/>
      <c r="P63" s="40"/>
      <c r="Q63" s="40"/>
    </row>
    <row r="64" spans="2:17" x14ac:dyDescent="0.25">
      <c r="B64" t="s">
        <v>159</v>
      </c>
      <c r="D64" s="57"/>
      <c r="E64" s="40"/>
      <c r="F64" s="57"/>
      <c r="G64" s="40"/>
      <c r="H64" s="57"/>
      <c r="O64" s="40"/>
      <c r="P64" s="40"/>
      <c r="Q64" s="40"/>
    </row>
    <row r="65" spans="2:17" x14ac:dyDescent="0.25">
      <c r="B65" t="s">
        <v>160</v>
      </c>
    </row>
    <row r="66" spans="2:17" x14ac:dyDescent="0.25">
      <c r="B66" t="s">
        <v>141</v>
      </c>
    </row>
    <row r="67" spans="2:17" x14ac:dyDescent="0.25">
      <c r="B67" t="s">
        <v>145</v>
      </c>
    </row>
    <row r="68" spans="2:17" x14ac:dyDescent="0.25">
      <c r="B68" t="s">
        <v>161</v>
      </c>
      <c r="D68" s="35">
        <f t="shared" ref="D68:I68" si="46">(D14+C14)/(D41-SUM(D48:D50))</f>
        <v>-0.94713013945390168</v>
      </c>
      <c r="E68" s="37">
        <f t="shared" si="46"/>
        <v>-0.82098736405765438</v>
      </c>
      <c r="F68" s="35">
        <f t="shared" si="46"/>
        <v>-3.0525825165747973</v>
      </c>
      <c r="G68" s="37">
        <f t="shared" si="46"/>
        <v>-0.39580630424446428</v>
      </c>
      <c r="H68" s="35">
        <f t="shared" si="46"/>
        <v>0.19620253164556961</v>
      </c>
      <c r="I68" s="37">
        <f t="shared" si="46"/>
        <v>0.17112763138524958</v>
      </c>
      <c r="Q68" s="37">
        <f>Q14/(Q41-SUM(Q48:Q50))</f>
        <v>0.19620253164556978</v>
      </c>
    </row>
    <row r="71" spans="2:17" x14ac:dyDescent="0.25">
      <c r="B71" s="30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 H41" formula="1"/>
    <ignoredError sqref="I68 Q68 D68:G68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47" t="s">
        <v>50</v>
      </c>
      <c r="C1" s="147"/>
      <c r="D1" s="147"/>
    </row>
    <row r="2" spans="2:4" x14ac:dyDescent="0.25">
      <c r="C2" s="21">
        <v>44196</v>
      </c>
      <c r="D2" s="21">
        <v>44342</v>
      </c>
    </row>
    <row r="3" spans="2:4" x14ac:dyDescent="0.25">
      <c r="B3" s="38" t="s">
        <v>39</v>
      </c>
      <c r="C3" s="39">
        <v>0.121</v>
      </c>
      <c r="D3" s="39">
        <v>0.126</v>
      </c>
    </row>
    <row r="4" spans="2:4" x14ac:dyDescent="0.25">
      <c r="B4" t="s">
        <v>53</v>
      </c>
      <c r="C4" s="63">
        <v>0.115</v>
      </c>
      <c r="D4" s="63">
        <v>8.2000000000000003E-2</v>
      </c>
    </row>
    <row r="5" spans="2:4" x14ac:dyDescent="0.25">
      <c r="B5" s="38" t="s">
        <v>40</v>
      </c>
      <c r="C5" s="39">
        <v>9.4E-2</v>
      </c>
      <c r="D5" s="39">
        <v>0.11</v>
      </c>
    </row>
    <row r="6" spans="2:4" x14ac:dyDescent="0.25">
      <c r="B6" s="38" t="s">
        <v>41</v>
      </c>
      <c r="C6" s="39">
        <v>6.6000000000000003E-2</v>
      </c>
      <c r="D6" s="39">
        <v>7.0999999999999994E-2</v>
      </c>
    </row>
    <row r="7" spans="2:4" x14ac:dyDescent="0.25">
      <c r="B7" s="38" t="s">
        <v>42</v>
      </c>
      <c r="C7" s="39">
        <v>4.9000000000000002E-2</v>
      </c>
      <c r="D7" s="39">
        <v>5.6000000000000001E-2</v>
      </c>
    </row>
    <row r="8" spans="2:4" x14ac:dyDescent="0.25">
      <c r="B8" s="38" t="s">
        <v>44</v>
      </c>
      <c r="C8" s="39">
        <v>4.8000000000000001E-2</v>
      </c>
      <c r="D8" s="39">
        <v>3.4000000000000002E-2</v>
      </c>
    </row>
    <row r="9" spans="2:4" x14ac:dyDescent="0.25">
      <c r="B9" s="38" t="s">
        <v>43</v>
      </c>
      <c r="C9" s="39">
        <v>4.4999999999999998E-2</v>
      </c>
      <c r="D9" s="39">
        <v>5.3999999999999999E-2</v>
      </c>
    </row>
    <row r="10" spans="2:4" x14ac:dyDescent="0.25">
      <c r="B10" s="38" t="s">
        <v>45</v>
      </c>
      <c r="C10" s="39">
        <v>3.7999999999999999E-2</v>
      </c>
      <c r="D10" s="39">
        <v>3.3000000000000002E-2</v>
      </c>
    </row>
    <row r="11" spans="2:4" x14ac:dyDescent="0.25">
      <c r="B11" s="38" t="s">
        <v>46</v>
      </c>
      <c r="C11" s="39">
        <v>3.6999999999999998E-2</v>
      </c>
      <c r="D11" s="39">
        <v>3.1E-2</v>
      </c>
    </row>
    <row r="12" spans="2:4" x14ac:dyDescent="0.25">
      <c r="B12" s="38" t="s">
        <v>47</v>
      </c>
      <c r="C12" s="39">
        <v>3.5999999999999997E-2</v>
      </c>
      <c r="D12" s="39">
        <v>4.9000000000000002E-2</v>
      </c>
    </row>
    <row r="13" spans="2:4" x14ac:dyDescent="0.25">
      <c r="B13" s="38" t="s">
        <v>48</v>
      </c>
      <c r="C13" s="39">
        <v>0.03</v>
      </c>
      <c r="D13" s="39">
        <v>3.6999999999999998E-2</v>
      </c>
    </row>
    <row r="14" spans="2:4" x14ac:dyDescent="0.25">
      <c r="B14" t="s">
        <v>107</v>
      </c>
      <c r="C14" s="63">
        <v>0</v>
      </c>
      <c r="D14" s="63">
        <v>4.2000000000000003E-2</v>
      </c>
    </row>
    <row r="15" spans="2:4" x14ac:dyDescent="0.25">
      <c r="B15" t="s">
        <v>127</v>
      </c>
      <c r="C15" s="63">
        <v>2.5000000000000001E-2</v>
      </c>
      <c r="D15" s="63">
        <v>1.7999999999999999E-2</v>
      </c>
    </row>
    <row r="16" spans="2:4" x14ac:dyDescent="0.25">
      <c r="B16" t="s">
        <v>49</v>
      </c>
      <c r="C16" s="63">
        <v>2.4E-2</v>
      </c>
      <c r="D16" s="63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ED6-1590-4E51-9AEA-DA97942BD76A}">
  <dimension ref="A1:E28"/>
  <sheetViews>
    <sheetView workbookViewId="0">
      <selection activeCell="G28" sqref="G28:G29"/>
    </sheetView>
  </sheetViews>
  <sheetFormatPr defaultRowHeight="12.75" x14ac:dyDescent="0.2"/>
  <cols>
    <col min="1" max="1" width="30.85546875" style="101" bestFit="1" customWidth="1"/>
    <col min="2" max="16384" width="9.140625" style="101"/>
  </cols>
  <sheetData>
    <row r="1" spans="1:5" s="103" customFormat="1" x14ac:dyDescent="0.2">
      <c r="D1" s="104" t="s">
        <v>37</v>
      </c>
      <c r="E1" s="103" t="s">
        <v>37</v>
      </c>
    </row>
    <row r="2" spans="1:5" x14ac:dyDescent="0.2">
      <c r="A2" s="102" t="s">
        <v>16</v>
      </c>
      <c r="D2" s="105">
        <v>20.470000000000002</v>
      </c>
    </row>
    <row r="3" spans="1:5" x14ac:dyDescent="0.2">
      <c r="A3" s="101" t="s">
        <v>17</v>
      </c>
      <c r="D3" s="106">
        <v>14.124300000000002</v>
      </c>
    </row>
    <row r="4" spans="1:5" x14ac:dyDescent="0.2">
      <c r="A4" s="101" t="s">
        <v>33</v>
      </c>
      <c r="D4" s="107">
        <v>0</v>
      </c>
    </row>
    <row r="5" spans="1:5" x14ac:dyDescent="0.2">
      <c r="A5" s="102" t="s">
        <v>18</v>
      </c>
      <c r="D5" s="105">
        <v>6.3457000000000008</v>
      </c>
    </row>
    <row r="6" spans="1:5" x14ac:dyDescent="0.2">
      <c r="A6" s="101" t="s">
        <v>34</v>
      </c>
      <c r="D6" s="107">
        <v>0</v>
      </c>
    </row>
    <row r="7" spans="1:5" x14ac:dyDescent="0.2">
      <c r="A7" s="101" t="s">
        <v>35</v>
      </c>
      <c r="D7" s="107">
        <v>0</v>
      </c>
    </row>
    <row r="8" spans="1:5" x14ac:dyDescent="0.2">
      <c r="A8" s="101" t="s">
        <v>19</v>
      </c>
      <c r="D8" s="107">
        <v>2.5529999999999999</v>
      </c>
    </row>
    <row r="9" spans="1:5" x14ac:dyDescent="0.2">
      <c r="A9" s="101" t="s">
        <v>20</v>
      </c>
      <c r="D9" s="107">
        <v>0</v>
      </c>
    </row>
    <row r="10" spans="1:5" x14ac:dyDescent="0.2">
      <c r="A10" s="101" t="s">
        <v>21</v>
      </c>
      <c r="D10" s="108">
        <v>0.112</v>
      </c>
    </row>
    <row r="11" spans="1:5" x14ac:dyDescent="0.2">
      <c r="A11" s="101" t="s">
        <v>22</v>
      </c>
      <c r="D11" s="107">
        <v>3.0790000000000002</v>
      </c>
    </row>
    <row r="12" spans="1:5" x14ac:dyDescent="0.2">
      <c r="A12" s="102" t="s">
        <v>55</v>
      </c>
      <c r="D12" s="109">
        <v>3.2667000000000006</v>
      </c>
    </row>
    <row r="13" spans="1:5" x14ac:dyDescent="0.2">
      <c r="A13" s="101" t="s">
        <v>23</v>
      </c>
      <c r="D13" s="107">
        <v>4.5360000000000004E-2</v>
      </c>
    </row>
    <row r="14" spans="1:5" x14ac:dyDescent="0.2">
      <c r="A14" s="102" t="s">
        <v>26</v>
      </c>
      <c r="D14" s="109">
        <v>3.2213400000000005</v>
      </c>
    </row>
    <row r="15" spans="1:5" x14ac:dyDescent="0.2">
      <c r="A15" s="101" t="s">
        <v>24</v>
      </c>
      <c r="D15" s="108">
        <v>-1</v>
      </c>
    </row>
    <row r="16" spans="1:5" x14ac:dyDescent="0.2">
      <c r="A16" s="102" t="s">
        <v>25</v>
      </c>
      <c r="D16" s="109">
        <v>2.2213400000000005</v>
      </c>
    </row>
    <row r="17" spans="1:4" x14ac:dyDescent="0.2">
      <c r="A17" s="101" t="s">
        <v>32</v>
      </c>
      <c r="D17" s="108">
        <v>3.1248980097122897E-3</v>
      </c>
    </row>
    <row r="18" spans="1:4" x14ac:dyDescent="0.2">
      <c r="A18" s="101" t="s">
        <v>2</v>
      </c>
      <c r="D18" s="108">
        <v>710.85199999999998</v>
      </c>
    </row>
    <row r="19" spans="1:4" x14ac:dyDescent="0.2">
      <c r="D19" s="110"/>
    </row>
    <row r="20" spans="1:4" x14ac:dyDescent="0.2">
      <c r="A20" s="101" t="s">
        <v>28</v>
      </c>
      <c r="D20" s="111">
        <v>0.31</v>
      </c>
    </row>
    <row r="21" spans="1:4" x14ac:dyDescent="0.2">
      <c r="A21" s="101" t="s">
        <v>29</v>
      </c>
      <c r="D21" s="111">
        <v>0.1595847581827064</v>
      </c>
    </row>
    <row r="22" spans="1:4" x14ac:dyDescent="0.2">
      <c r="A22" s="101" t="s">
        <v>30</v>
      </c>
      <c r="D22" s="111">
        <v>0.10851685393258428</v>
      </c>
    </row>
    <row r="23" spans="1:4" x14ac:dyDescent="0.2">
      <c r="A23" s="101" t="s">
        <v>31</v>
      </c>
      <c r="D23" s="111">
        <v>-0.31042982113033701</v>
      </c>
    </row>
    <row r="24" spans="1:4" x14ac:dyDescent="0.2">
      <c r="D24" s="110"/>
    </row>
    <row r="25" spans="1:4" x14ac:dyDescent="0.2">
      <c r="A25" s="101" t="s">
        <v>93</v>
      </c>
      <c r="D25" s="110"/>
    </row>
    <row r="26" spans="1:4" x14ac:dyDescent="0.2">
      <c r="A26" s="102" t="s">
        <v>97</v>
      </c>
      <c r="D26" s="112">
        <v>0.25</v>
      </c>
    </row>
    <row r="27" spans="1:4" x14ac:dyDescent="0.2">
      <c r="A27" s="101" t="s">
        <v>128</v>
      </c>
      <c r="D27" s="113"/>
    </row>
    <row r="28" spans="1:4" x14ac:dyDescent="0.2">
      <c r="A28" s="102" t="s">
        <v>129</v>
      </c>
      <c r="D28" s="112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Substantial Holdings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2022-04-27T13:58:56Z</dcterms:created>
  <dcterms:modified xsi:type="dcterms:W3CDTF">2023-08-11T18:30:58Z</dcterms:modified>
</cp:coreProperties>
</file>