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BC8AAD7-AE8A-431E-B37D-E76AC447B3CE}" xr6:coauthVersionLast="36" xr6:coauthVersionMax="47" xr10:uidLastSave="{00000000-0000-0000-0000-000000000000}"/>
  <bookViews>
    <workbookView xWindow="0" yWindow="0" windowWidth="28740" windowHeight="10650" xr2:uid="{82812E1B-B9E5-4968-9C43-2C9046B85BEB}"/>
  </bookViews>
  <sheets>
    <sheet name="Main" sheetId="1" r:id="rId1"/>
    <sheet name="Financial Model" sheetId="2" r:id="rId2"/>
    <sheet name="Historical Projections" sheetId="4" r:id="rId3"/>
    <sheet name="Broker Rating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0" i="2" l="1"/>
  <c r="R80" i="2"/>
  <c r="Q80" i="2"/>
  <c r="P80" i="2"/>
  <c r="C37" i="1"/>
  <c r="L29" i="2"/>
  <c r="L30" i="2" s="1"/>
  <c r="L2" i="2"/>
  <c r="L19" i="2"/>
  <c r="L16" i="2"/>
  <c r="L14" i="2"/>
  <c r="L13" i="2"/>
  <c r="L12" i="2"/>
  <c r="L9" i="2"/>
  <c r="L8" i="2"/>
  <c r="L4" i="2"/>
  <c r="L3" i="2"/>
  <c r="U13" i="2"/>
  <c r="U12" i="2"/>
  <c r="U9" i="2"/>
  <c r="U8" i="2"/>
  <c r="U4" i="2"/>
  <c r="U19" i="2"/>
  <c r="U3" i="2"/>
  <c r="U26" i="2" s="1"/>
  <c r="S83" i="2"/>
  <c r="R83" i="2"/>
  <c r="Q83" i="2"/>
  <c r="P83" i="2"/>
  <c r="T30" i="2" l="1"/>
  <c r="T83" i="2"/>
  <c r="T72" i="2"/>
  <c r="T71" i="2"/>
  <c r="T75" i="2" s="1"/>
  <c r="T55" i="2"/>
  <c r="T66" i="2" s="1"/>
  <c r="T69" i="2" s="1"/>
  <c r="S55" i="2"/>
  <c r="S66" i="2" s="1"/>
  <c r="R55" i="2"/>
  <c r="R66" i="2" s="1"/>
  <c r="Q55" i="2"/>
  <c r="Q66" i="2" s="1"/>
  <c r="P55" i="2"/>
  <c r="P66" i="2" s="1"/>
  <c r="K55" i="2"/>
  <c r="I55" i="2"/>
  <c r="G55" i="2"/>
  <c r="E55" i="2"/>
  <c r="C55" i="2"/>
  <c r="T36" i="2"/>
  <c r="T40" i="2" s="1"/>
  <c r="T46" i="2" s="1"/>
  <c r="T26" i="2"/>
  <c r="T10" i="2"/>
  <c r="T5" i="2"/>
  <c r="L5" i="2" s="1"/>
  <c r="L6" i="2" s="1"/>
  <c r="K83" i="2"/>
  <c r="I83" i="2"/>
  <c r="G83" i="2"/>
  <c r="E83" i="2"/>
  <c r="C83" i="2"/>
  <c r="U10" i="2" l="1"/>
  <c r="L10" i="2"/>
  <c r="T6" i="2"/>
  <c r="T7" i="2" s="1"/>
  <c r="T21" i="2" s="1"/>
  <c r="U5" i="2"/>
  <c r="U6" i="2" s="1"/>
  <c r="T73" i="2"/>
  <c r="T76" i="2" s="1"/>
  <c r="T78" i="2"/>
  <c r="T79" i="2" s="1"/>
  <c r="T80" i="2" s="1"/>
  <c r="T87" i="2" s="1"/>
  <c r="K72" i="2"/>
  <c r="K71" i="2"/>
  <c r="K66" i="2"/>
  <c r="K69" i="2" s="1"/>
  <c r="K40" i="2"/>
  <c r="K46" i="2" s="1"/>
  <c r="T11" i="2" l="1"/>
  <c r="T22" i="2" s="1"/>
  <c r="T84" i="2"/>
  <c r="K73" i="2"/>
  <c r="K78" i="2"/>
  <c r="K79" i="2" s="1"/>
  <c r="K75" i="2"/>
  <c r="K30" i="2"/>
  <c r="K26" i="2"/>
  <c r="K6" i="2"/>
  <c r="K7" i="2" s="1"/>
  <c r="P3" i="2"/>
  <c r="Q26" i="2" s="1"/>
  <c r="V3" i="2"/>
  <c r="W3" i="2" s="1"/>
  <c r="V4" i="2"/>
  <c r="P5" i="2"/>
  <c r="P6" i="2" s="1"/>
  <c r="Q5" i="2"/>
  <c r="Q6" i="2" s="1"/>
  <c r="Q7" i="2" s="1"/>
  <c r="R6" i="2"/>
  <c r="R7" i="2" s="1"/>
  <c r="R11" i="2" s="1"/>
  <c r="S6" i="2"/>
  <c r="S7" i="2" s="1"/>
  <c r="S11" i="2" s="1"/>
  <c r="V8" i="2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V9" i="2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V10" i="2"/>
  <c r="W10" i="2" s="1"/>
  <c r="X10" i="2" s="1"/>
  <c r="Y10" i="2" s="1"/>
  <c r="P14" i="2"/>
  <c r="U14" i="2" s="1"/>
  <c r="R26" i="2"/>
  <c r="S26" i="2"/>
  <c r="AK26" i="2"/>
  <c r="T15" i="2" l="1"/>
  <c r="T17" i="2" s="1"/>
  <c r="T24" i="2"/>
  <c r="C34" i="1"/>
  <c r="K80" i="2"/>
  <c r="K87" i="2" s="1"/>
  <c r="K76" i="2"/>
  <c r="K84" i="2"/>
  <c r="K11" i="2"/>
  <c r="K21" i="2"/>
  <c r="P7" i="2"/>
  <c r="P21" i="2" s="1"/>
  <c r="Q11" i="2"/>
  <c r="Q22" i="2" s="1"/>
  <c r="Q21" i="2"/>
  <c r="V19" i="2"/>
  <c r="W19" i="2" s="1"/>
  <c r="X19" i="2" s="1"/>
  <c r="R21" i="2"/>
  <c r="W4" i="2"/>
  <c r="S22" i="2"/>
  <c r="S15" i="2"/>
  <c r="R22" i="2"/>
  <c r="R15" i="2"/>
  <c r="Z10" i="2"/>
  <c r="AA10" i="2" s="1"/>
  <c r="AB10" i="2" s="1"/>
  <c r="AC10" i="2" s="1"/>
  <c r="AD10" i="2" s="1"/>
  <c r="AE10" i="2" s="1"/>
  <c r="AF10" i="2" s="1"/>
  <c r="AG10" i="2" s="1"/>
  <c r="V5" i="2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U7" i="2"/>
  <c r="U16" i="2"/>
  <c r="S21" i="2"/>
  <c r="T18" i="2" l="1"/>
  <c r="T88" i="2" s="1"/>
  <c r="T23" i="2"/>
  <c r="K22" i="2"/>
  <c r="K15" i="2"/>
  <c r="P11" i="2"/>
  <c r="P22" i="2" s="1"/>
  <c r="Q15" i="2"/>
  <c r="Q17" i="2" s="1"/>
  <c r="Y19" i="2"/>
  <c r="U11" i="2"/>
  <c r="U21" i="2"/>
  <c r="R17" i="2"/>
  <c r="R24" i="2"/>
  <c r="S24" i="2"/>
  <c r="S17" i="2"/>
  <c r="X4" i="2"/>
  <c r="W6" i="2"/>
  <c r="V6" i="2"/>
  <c r="V7" i="2" s="1"/>
  <c r="V26" i="2"/>
  <c r="V16" i="2"/>
  <c r="P15" i="2" l="1"/>
  <c r="P17" i="2" s="1"/>
  <c r="Q24" i="2"/>
  <c r="K24" i="2"/>
  <c r="K17" i="2"/>
  <c r="S18" i="2"/>
  <c r="S23" i="2"/>
  <c r="V11" i="2"/>
  <c r="V21" i="2"/>
  <c r="Y4" i="2"/>
  <c r="X6" i="2"/>
  <c r="R23" i="2"/>
  <c r="R18" i="2"/>
  <c r="R88" i="2" s="1"/>
  <c r="Z19" i="2"/>
  <c r="W26" i="2"/>
  <c r="X3" i="2"/>
  <c r="W16" i="2"/>
  <c r="W7" i="2"/>
  <c r="U15" i="2"/>
  <c r="U22" i="2"/>
  <c r="Q18" i="2"/>
  <c r="Q88" i="2" s="1"/>
  <c r="Q23" i="2"/>
  <c r="C35" i="1" l="1"/>
  <c r="S88" i="2"/>
  <c r="P24" i="2"/>
  <c r="K23" i="2"/>
  <c r="K18" i="2"/>
  <c r="Z4" i="2"/>
  <c r="Y6" i="2"/>
  <c r="Y3" i="2"/>
  <c r="X26" i="2"/>
  <c r="X7" i="2"/>
  <c r="X16" i="2"/>
  <c r="W11" i="2"/>
  <c r="W21" i="2"/>
  <c r="V15" i="2"/>
  <c r="V22" i="2"/>
  <c r="P18" i="2"/>
  <c r="P88" i="2" s="1"/>
  <c r="P23" i="2"/>
  <c r="U17" i="2"/>
  <c r="U24" i="2"/>
  <c r="AA19" i="2"/>
  <c r="AB19" i="2" s="1"/>
  <c r="S72" i="2"/>
  <c r="R72" i="2"/>
  <c r="Q72" i="2"/>
  <c r="P72" i="2"/>
  <c r="I72" i="2"/>
  <c r="G72" i="2"/>
  <c r="E72" i="2"/>
  <c r="C72" i="2"/>
  <c r="S71" i="2"/>
  <c r="S75" i="2" s="1"/>
  <c r="R71" i="2"/>
  <c r="R75" i="2" s="1"/>
  <c r="Q71" i="2"/>
  <c r="Q75" i="2" s="1"/>
  <c r="P71" i="2"/>
  <c r="P75" i="2" s="1"/>
  <c r="I71" i="2"/>
  <c r="I75" i="2" s="1"/>
  <c r="G71" i="2"/>
  <c r="G75" i="2" s="1"/>
  <c r="E71" i="2"/>
  <c r="E75" i="2" s="1"/>
  <c r="C71" i="2"/>
  <c r="C75" i="2" s="1"/>
  <c r="E30" i="2"/>
  <c r="G30" i="2"/>
  <c r="I30" i="2"/>
  <c r="H30" i="2"/>
  <c r="F30" i="2"/>
  <c r="D30" i="2"/>
  <c r="J30" i="2"/>
  <c r="R30" i="2"/>
  <c r="Q30" i="2"/>
  <c r="S30" i="2"/>
  <c r="C73" i="2" l="1"/>
  <c r="X11" i="2"/>
  <c r="X21" i="2"/>
  <c r="Y7" i="2"/>
  <c r="Y26" i="2"/>
  <c r="Z3" i="2"/>
  <c r="Y16" i="2"/>
  <c r="U18" i="2"/>
  <c r="U23" i="2"/>
  <c r="V17" i="2"/>
  <c r="V24" i="2"/>
  <c r="AC19" i="2"/>
  <c r="AD19" i="2" s="1"/>
  <c r="AE19" i="2" s="1"/>
  <c r="W22" i="2"/>
  <c r="W15" i="2"/>
  <c r="AA4" i="2"/>
  <c r="Z6" i="2"/>
  <c r="S73" i="2"/>
  <c r="R73" i="2"/>
  <c r="G73" i="2"/>
  <c r="Q73" i="2"/>
  <c r="E73" i="2"/>
  <c r="P73" i="2"/>
  <c r="I73" i="2"/>
  <c r="P76" i="2" l="1"/>
  <c r="P84" i="2"/>
  <c r="Q76" i="2"/>
  <c r="Q84" i="2"/>
  <c r="R76" i="2"/>
  <c r="R84" i="2"/>
  <c r="S76" i="2"/>
  <c r="S84" i="2"/>
  <c r="E76" i="2"/>
  <c r="E84" i="2"/>
  <c r="G76" i="2"/>
  <c r="G84" i="2"/>
  <c r="I76" i="2"/>
  <c r="I84" i="2"/>
  <c r="C76" i="2"/>
  <c r="C84" i="2"/>
  <c r="W17" i="2"/>
  <c r="W24" i="2"/>
  <c r="AA6" i="2"/>
  <c r="AB4" i="2"/>
  <c r="Y21" i="2"/>
  <c r="Y11" i="2"/>
  <c r="Z7" i="2"/>
  <c r="Z16" i="2"/>
  <c r="AA3" i="2"/>
  <c r="Z26" i="2"/>
  <c r="X22" i="2"/>
  <c r="X15" i="2"/>
  <c r="V23" i="2"/>
  <c r="V18" i="2"/>
  <c r="AF19" i="2"/>
  <c r="AG19" i="2" s="1"/>
  <c r="AA26" i="2" l="1"/>
  <c r="AA16" i="2"/>
  <c r="AB3" i="2"/>
  <c r="AA7" i="2"/>
  <c r="Z11" i="2"/>
  <c r="Z21" i="2"/>
  <c r="Y15" i="2"/>
  <c r="Y22" i="2"/>
  <c r="X17" i="2"/>
  <c r="X24" i="2"/>
  <c r="AB6" i="2"/>
  <c r="AC4" i="2"/>
  <c r="W18" i="2"/>
  <c r="W23" i="2"/>
  <c r="F16" i="2"/>
  <c r="F14" i="2"/>
  <c r="F13" i="2"/>
  <c r="F12" i="2"/>
  <c r="D19" i="2"/>
  <c r="F19" i="2"/>
  <c r="F10" i="2"/>
  <c r="F9" i="2"/>
  <c r="F8" i="2"/>
  <c r="F4" i="2"/>
  <c r="F3" i="2"/>
  <c r="E60" i="2"/>
  <c r="E40" i="2"/>
  <c r="E46" i="2" s="1"/>
  <c r="E5" i="2"/>
  <c r="E6" i="2" s="1"/>
  <c r="E7" i="2" s="1"/>
  <c r="D51" i="2"/>
  <c r="C40" i="2"/>
  <c r="C46" i="2" s="1"/>
  <c r="D16" i="2"/>
  <c r="D13" i="2"/>
  <c r="D12" i="2"/>
  <c r="D10" i="2"/>
  <c r="D9" i="2"/>
  <c r="D8" i="2"/>
  <c r="D4" i="2"/>
  <c r="C5" i="2"/>
  <c r="C6" i="2" s="1"/>
  <c r="C7" i="2" s="1"/>
  <c r="C66" i="2" l="1"/>
  <c r="C78" i="2" s="1"/>
  <c r="C79" i="2" s="1"/>
  <c r="C80" i="2" s="1"/>
  <c r="C87" i="2" s="1"/>
  <c r="E66" i="2"/>
  <c r="E78" i="2" s="1"/>
  <c r="E79" i="2" s="1"/>
  <c r="E80" i="2" s="1"/>
  <c r="E87" i="2" s="1"/>
  <c r="X23" i="2"/>
  <c r="X18" i="2"/>
  <c r="Y17" i="2"/>
  <c r="Y24" i="2"/>
  <c r="Z22" i="2"/>
  <c r="Z15" i="2"/>
  <c r="AA11" i="2"/>
  <c r="AA21" i="2"/>
  <c r="AB16" i="2"/>
  <c r="AC3" i="2"/>
  <c r="AB7" i="2"/>
  <c r="AB26" i="2"/>
  <c r="AC6" i="2"/>
  <c r="AD4" i="2"/>
  <c r="E21" i="2"/>
  <c r="E11" i="2"/>
  <c r="C21" i="2"/>
  <c r="C11" i="2"/>
  <c r="D68" i="2"/>
  <c r="D64" i="2"/>
  <c r="D63" i="2"/>
  <c r="D62" i="2"/>
  <c r="D61" i="2"/>
  <c r="D60" i="2"/>
  <c r="D58" i="2"/>
  <c r="D57" i="2"/>
  <c r="D53" i="2"/>
  <c r="D52" i="2"/>
  <c r="D48" i="2"/>
  <c r="D42" i="2"/>
  <c r="D41" i="2"/>
  <c r="D39" i="2"/>
  <c r="D37" i="2"/>
  <c r="D36" i="2"/>
  <c r="D35" i="2"/>
  <c r="D34" i="2"/>
  <c r="D33" i="2"/>
  <c r="E26" i="2"/>
  <c r="G27" i="2"/>
  <c r="G26" i="2"/>
  <c r="F27" i="2"/>
  <c r="F68" i="2"/>
  <c r="F64" i="2"/>
  <c r="F63" i="2"/>
  <c r="F62" i="2"/>
  <c r="F61" i="2"/>
  <c r="F60" i="2"/>
  <c r="F58" i="2"/>
  <c r="F57" i="2"/>
  <c r="F53" i="2"/>
  <c r="F52" i="2"/>
  <c r="F51" i="2"/>
  <c r="F48" i="2"/>
  <c r="F41" i="2"/>
  <c r="F42" i="2"/>
  <c r="F39" i="2"/>
  <c r="F37" i="2"/>
  <c r="F36" i="2"/>
  <c r="F35" i="2"/>
  <c r="F34" i="2"/>
  <c r="F33" i="2"/>
  <c r="G40" i="2"/>
  <c r="G46" i="2" s="1"/>
  <c r="H68" i="2"/>
  <c r="H53" i="2"/>
  <c r="H52" i="2"/>
  <c r="H51" i="2"/>
  <c r="H48" i="2"/>
  <c r="H42" i="2"/>
  <c r="H64" i="2"/>
  <c r="H63" i="2"/>
  <c r="H62" i="2"/>
  <c r="H61" i="2"/>
  <c r="H60" i="2"/>
  <c r="H58" i="2"/>
  <c r="H57" i="2"/>
  <c r="H41" i="2"/>
  <c r="H39" i="2"/>
  <c r="H37" i="2"/>
  <c r="H36" i="2"/>
  <c r="H35" i="2"/>
  <c r="H34" i="2"/>
  <c r="H33" i="2"/>
  <c r="J68" i="2"/>
  <c r="J64" i="2"/>
  <c r="J63" i="2"/>
  <c r="J62" i="2"/>
  <c r="J61" i="2"/>
  <c r="J60" i="2"/>
  <c r="J58" i="2"/>
  <c r="J57" i="2"/>
  <c r="J53" i="2"/>
  <c r="J52" i="2"/>
  <c r="J51" i="2"/>
  <c r="J48" i="2"/>
  <c r="J42" i="2"/>
  <c r="J41" i="2"/>
  <c r="J39" i="2"/>
  <c r="J37" i="2"/>
  <c r="J36" i="2"/>
  <c r="J35" i="2"/>
  <c r="J34" i="2"/>
  <c r="J33" i="2"/>
  <c r="I40" i="2"/>
  <c r="I46" i="2" s="1"/>
  <c r="J71" i="2" l="1"/>
  <c r="J75" i="2" s="1"/>
  <c r="E69" i="2"/>
  <c r="C69" i="2"/>
  <c r="G66" i="2"/>
  <c r="G78" i="2" s="1"/>
  <c r="G79" i="2" s="1"/>
  <c r="G80" i="2" s="1"/>
  <c r="G87" i="2" s="1"/>
  <c r="I66" i="2"/>
  <c r="I78" i="2" s="1"/>
  <c r="I79" i="2" s="1"/>
  <c r="I80" i="2" s="1"/>
  <c r="I87" i="2" s="1"/>
  <c r="AC16" i="2"/>
  <c r="AD3" i="2"/>
  <c r="AC7" i="2"/>
  <c r="AC26" i="2"/>
  <c r="AE4" i="2"/>
  <c r="AD6" i="2"/>
  <c r="AB11" i="2"/>
  <c r="AB21" i="2"/>
  <c r="Z17" i="2"/>
  <c r="Z24" i="2"/>
  <c r="Y23" i="2"/>
  <c r="Y18" i="2"/>
  <c r="AA15" i="2"/>
  <c r="AA22" i="2"/>
  <c r="D72" i="2"/>
  <c r="F72" i="2"/>
  <c r="J72" i="2"/>
  <c r="F71" i="2"/>
  <c r="D71" i="2"/>
  <c r="H40" i="2"/>
  <c r="H46" i="2" s="1"/>
  <c r="H71" i="2"/>
  <c r="H75" i="2" s="1"/>
  <c r="H72" i="2"/>
  <c r="H55" i="2"/>
  <c r="H66" i="2" s="1"/>
  <c r="H69" i="2" s="1"/>
  <c r="J40" i="2"/>
  <c r="F40" i="2"/>
  <c r="F46" i="2" s="1"/>
  <c r="D40" i="2"/>
  <c r="D46" i="2" s="1"/>
  <c r="E22" i="2"/>
  <c r="E15" i="2"/>
  <c r="C22" i="2"/>
  <c r="C15" i="2"/>
  <c r="H19" i="2"/>
  <c r="H16" i="2"/>
  <c r="H14" i="2"/>
  <c r="H13" i="2"/>
  <c r="H12" i="2"/>
  <c r="H10" i="2"/>
  <c r="H9" i="2"/>
  <c r="H8" i="2"/>
  <c r="H5" i="2"/>
  <c r="H4" i="2"/>
  <c r="H3" i="2"/>
  <c r="H26" i="2" s="1"/>
  <c r="J19" i="2"/>
  <c r="J16" i="2"/>
  <c r="J14" i="2"/>
  <c r="J13" i="2"/>
  <c r="J12" i="2"/>
  <c r="J10" i="2"/>
  <c r="J9" i="2"/>
  <c r="J8" i="2"/>
  <c r="J5" i="2"/>
  <c r="J4" i="2"/>
  <c r="J3" i="2"/>
  <c r="K27" i="2" s="1"/>
  <c r="I26" i="2"/>
  <c r="G6" i="2"/>
  <c r="G7" i="2" s="1"/>
  <c r="G11" i="2" s="1"/>
  <c r="I6" i="2"/>
  <c r="P40" i="2"/>
  <c r="P46" i="2" s="1"/>
  <c r="R69" i="2"/>
  <c r="Q40" i="2"/>
  <c r="Q46" i="2" s="1"/>
  <c r="D14" i="2"/>
  <c r="C8" i="1"/>
  <c r="C11" i="1"/>
  <c r="R40" i="2"/>
  <c r="R46" i="2" s="1"/>
  <c r="S40" i="2"/>
  <c r="S46" i="2" s="1"/>
  <c r="J46" i="2" s="1"/>
  <c r="J73" i="2" l="1"/>
  <c r="J76" i="2" s="1"/>
  <c r="R78" i="2"/>
  <c r="R79" i="2" s="1"/>
  <c r="R87" i="2" s="1"/>
  <c r="G69" i="2"/>
  <c r="H78" i="2"/>
  <c r="H79" i="2" s="1"/>
  <c r="H80" i="2" s="1"/>
  <c r="I69" i="2"/>
  <c r="H6" i="2"/>
  <c r="H7" i="2" s="1"/>
  <c r="H21" i="2" s="1"/>
  <c r="L26" i="2"/>
  <c r="AB22" i="2"/>
  <c r="AB15" i="2"/>
  <c r="AE6" i="2"/>
  <c r="AF4" i="2"/>
  <c r="Z23" i="2"/>
  <c r="Z18" i="2"/>
  <c r="AA17" i="2"/>
  <c r="AA24" i="2"/>
  <c r="AC21" i="2"/>
  <c r="AC11" i="2"/>
  <c r="AE3" i="2"/>
  <c r="AD26" i="2"/>
  <c r="AD7" i="2"/>
  <c r="AD16" i="2"/>
  <c r="C17" i="2"/>
  <c r="C23" i="2" s="1"/>
  <c r="C24" i="2"/>
  <c r="E17" i="2"/>
  <c r="E18" i="2" s="1"/>
  <c r="E24" i="2"/>
  <c r="F73" i="2"/>
  <c r="F76" i="2" s="1"/>
  <c r="F75" i="2"/>
  <c r="D73" i="2"/>
  <c r="D76" i="2" s="1"/>
  <c r="D75" i="2"/>
  <c r="J6" i="2"/>
  <c r="J7" i="2" s="1"/>
  <c r="H73" i="2"/>
  <c r="H76" i="2" s="1"/>
  <c r="G15" i="2"/>
  <c r="P78" i="2"/>
  <c r="P79" i="2" s="1"/>
  <c r="P87" i="2" s="1"/>
  <c r="D55" i="2"/>
  <c r="C12" i="1"/>
  <c r="J55" i="2"/>
  <c r="F5" i="2"/>
  <c r="F6" i="2" s="1"/>
  <c r="F7" i="2" s="1"/>
  <c r="D5" i="2"/>
  <c r="D6" i="2" s="1"/>
  <c r="F66" i="2"/>
  <c r="F78" i="2" s="1"/>
  <c r="F79" i="2" s="1"/>
  <c r="F80" i="2" s="1"/>
  <c r="F55" i="2"/>
  <c r="D3" i="2"/>
  <c r="J26" i="2"/>
  <c r="J27" i="2"/>
  <c r="H27" i="2"/>
  <c r="G21" i="2"/>
  <c r="I27" i="2"/>
  <c r="G22" i="2"/>
  <c r="I7" i="2"/>
  <c r="Q78" i="2" l="1"/>
  <c r="Q79" i="2" s="1"/>
  <c r="Q87" i="2" s="1"/>
  <c r="S78" i="2"/>
  <c r="S79" i="2" s="1"/>
  <c r="S87" i="2" s="1"/>
  <c r="C18" i="2"/>
  <c r="L27" i="2"/>
  <c r="L7" i="2"/>
  <c r="AA18" i="2"/>
  <c r="AA23" i="2"/>
  <c r="AD21" i="2"/>
  <c r="AD11" i="2"/>
  <c r="AB17" i="2"/>
  <c r="AB24" i="2"/>
  <c r="AC15" i="2"/>
  <c r="AC22" i="2"/>
  <c r="AF6" i="2"/>
  <c r="AG4" i="2"/>
  <c r="AG6" i="2" s="1"/>
  <c r="E23" i="2"/>
  <c r="AE16" i="2"/>
  <c r="AE26" i="2"/>
  <c r="AF3" i="2"/>
  <c r="AE7" i="2"/>
  <c r="H11" i="2"/>
  <c r="H22" i="2" s="1"/>
  <c r="G17" i="2"/>
  <c r="G18" i="2" s="1"/>
  <c r="G24" i="2"/>
  <c r="D7" i="2"/>
  <c r="E27" i="2"/>
  <c r="F26" i="2"/>
  <c r="D27" i="2"/>
  <c r="Q69" i="2"/>
  <c r="F69" i="2" s="1"/>
  <c r="F21" i="2"/>
  <c r="F11" i="2"/>
  <c r="S69" i="2"/>
  <c r="J69" i="2" s="1"/>
  <c r="J66" i="2"/>
  <c r="P69" i="2"/>
  <c r="D69" i="2" s="1"/>
  <c r="D66" i="2"/>
  <c r="D78" i="2" s="1"/>
  <c r="D79" i="2" s="1"/>
  <c r="D80" i="2" s="1"/>
  <c r="J21" i="2"/>
  <c r="J11" i="2"/>
  <c r="I21" i="2"/>
  <c r="I11" i="2"/>
  <c r="J78" i="2" l="1"/>
  <c r="J79" i="2" s="1"/>
  <c r="J80" i="2" s="1"/>
  <c r="H15" i="2"/>
  <c r="H17" i="2" s="1"/>
  <c r="H23" i="2" s="1"/>
  <c r="L11" i="2"/>
  <c r="L21" i="2"/>
  <c r="AF7" i="2"/>
  <c r="AF11" i="2" s="1"/>
  <c r="AC17" i="2"/>
  <c r="AC24" i="2"/>
  <c r="AD15" i="2"/>
  <c r="AD22" i="2"/>
  <c r="AE11" i="2"/>
  <c r="AE21" i="2"/>
  <c r="AF26" i="2"/>
  <c r="AG3" i="2"/>
  <c r="AF16" i="2"/>
  <c r="AB23" i="2"/>
  <c r="AB18" i="2"/>
  <c r="G23" i="2"/>
  <c r="F15" i="2"/>
  <c r="F22" i="2"/>
  <c r="D21" i="2"/>
  <c r="D11" i="2"/>
  <c r="J22" i="2"/>
  <c r="J15" i="2"/>
  <c r="I22" i="2"/>
  <c r="I15" i="2"/>
  <c r="H24" i="2" l="1"/>
  <c r="AF21" i="2"/>
  <c r="L15" i="2"/>
  <c r="L22" i="2"/>
  <c r="AG7" i="2"/>
  <c r="AG16" i="2"/>
  <c r="AG26" i="2"/>
  <c r="AE15" i="2"/>
  <c r="AE22" i="2"/>
  <c r="AF22" i="2"/>
  <c r="AF15" i="2"/>
  <c r="AF17" i="2" s="1"/>
  <c r="AD17" i="2"/>
  <c r="AD24" i="2"/>
  <c r="AC18" i="2"/>
  <c r="AC23" i="2"/>
  <c r="H18" i="2"/>
  <c r="J17" i="2"/>
  <c r="J23" i="2" s="1"/>
  <c r="J24" i="2"/>
  <c r="F17" i="2"/>
  <c r="F23" i="2" s="1"/>
  <c r="F24" i="2"/>
  <c r="I17" i="2"/>
  <c r="I23" i="2" s="1"/>
  <c r="I24" i="2"/>
  <c r="D22" i="2"/>
  <c r="D15" i="2"/>
  <c r="L17" i="2" l="1"/>
  <c r="L24" i="2"/>
  <c r="J18" i="2"/>
  <c r="AD23" i="2"/>
  <c r="AD18" i="2"/>
  <c r="AF24" i="2"/>
  <c r="AE17" i="2"/>
  <c r="AE24" i="2"/>
  <c r="AF18" i="2"/>
  <c r="AF23" i="2"/>
  <c r="AG11" i="2"/>
  <c r="AG21" i="2"/>
  <c r="I18" i="2"/>
  <c r="F18" i="2"/>
  <c r="D17" i="2"/>
  <c r="D23" i="2" s="1"/>
  <c r="D24" i="2"/>
  <c r="D18" i="2" l="1"/>
  <c r="L23" i="2"/>
  <c r="AG22" i="2"/>
  <c r="AG15" i="2"/>
  <c r="AE18" i="2"/>
  <c r="AE23" i="2"/>
  <c r="AG17" i="2" l="1"/>
  <c r="AG24" i="2"/>
  <c r="AH17" i="2" l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AK22" i="2" s="1"/>
  <c r="AK24" i="2" s="1"/>
  <c r="AK25" i="2" s="1"/>
  <c r="AG18" i="2"/>
  <c r="AG23" i="2"/>
  <c r="L18" i="2"/>
  <c r="AK27" i="2" l="1"/>
</calcChain>
</file>

<file path=xl/sharedStrings.xml><?xml version="1.0" encoding="utf-8"?>
<sst xmlns="http://schemas.openxmlformats.org/spreadsheetml/2006/main" count="435" uniqueCount="206">
  <si>
    <t>Price</t>
  </si>
  <si>
    <t>Shares</t>
  </si>
  <si>
    <t>MC</t>
  </si>
  <si>
    <t>Cash</t>
  </si>
  <si>
    <t>Debt</t>
  </si>
  <si>
    <t>Net Cash</t>
  </si>
  <si>
    <t>EV</t>
  </si>
  <si>
    <t>888 Holdings Plc.</t>
  </si>
  <si>
    <t>Stock Snapshot</t>
  </si>
  <si>
    <t>Management</t>
  </si>
  <si>
    <t>Strategic investment to launch 888 brand in Africa</t>
  </si>
  <si>
    <t>In March 2022 888 has launched a ploy to break into Africa</t>
  </si>
  <si>
    <t>Joined with 5 industry veterans to launch 888Africa</t>
  </si>
  <si>
    <t>888 Holdings Launch 'Made to Play' global brand</t>
  </si>
  <si>
    <t>Granted iGaming license in Canada</t>
  </si>
  <si>
    <t xml:space="preserve">Secured a license in newly regulated market in Canada, </t>
  </si>
  <si>
    <t>set to launch April 4 w/ casino, sport &amp; poker. 888 now holds</t>
  </si>
  <si>
    <t>licenses in 19 local regulated markets, including 7 US states</t>
  </si>
  <si>
    <t>2022 Fine by UK Gambling Commission</t>
  </si>
  <si>
    <t xml:space="preserve">£9.4m fine after investigation revealed social responsibility </t>
  </si>
  <si>
    <t>and money laundering failings</t>
  </si>
  <si>
    <t>888 also received official warning &amp; will undergo auditing</t>
  </si>
  <si>
    <t>William Hill Takeover</t>
  </si>
  <si>
    <t xml:space="preserve">Processing acquisition of William Hill Intl. (non-US) </t>
  </si>
  <si>
    <t>Includes all technology, real estate &amp; talent at William Hill</t>
  </si>
  <si>
    <t>(Excludes US William Hill which is owned by Caesars)</t>
  </si>
  <si>
    <t>Expecting WH takeover to be complete in Q2 2022</t>
  </si>
  <si>
    <t>2021 revenue warning</t>
  </si>
  <si>
    <t>50% revenue growth in 2020</t>
  </si>
  <si>
    <t>Loss in revenue 2018</t>
  </si>
  <si>
    <t xml:space="preserve">Fined record £7.8m by Gambling Commission in August 2017 </t>
  </si>
  <si>
    <t>Company History</t>
  </si>
  <si>
    <t>Founded in 1997, first listed on LSE in 2005. Based in Gibraltar</t>
  </si>
  <si>
    <t>CEO</t>
  </si>
  <si>
    <t>CFO</t>
  </si>
  <si>
    <t>COO</t>
  </si>
  <si>
    <t>Chairman</t>
  </si>
  <si>
    <t>Company cites increased Gambling activity during  2020 COVID-19 lockdowns</t>
  </si>
  <si>
    <t>Following 888 2020FY results company warned it expects tighter regulation</t>
  </si>
  <si>
    <t>to knock-off £50-70m in 2021 revenues</t>
  </si>
  <si>
    <t>H119</t>
  </si>
  <si>
    <t>H219</t>
  </si>
  <si>
    <t>H120</t>
  </si>
  <si>
    <t>H220</t>
  </si>
  <si>
    <t>H121</t>
  </si>
  <si>
    <t>H221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</si>
  <si>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</si>
  <si>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</si>
  <si>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</si>
  <si>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</si>
  <si>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</si>
  <si>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</si>
  <si>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</si>
  <si>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</si>
  <si>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</si>
  <si>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</si>
  <si>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</si>
  <si>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</si>
  <si>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Revenue</t>
  </si>
  <si>
    <t>Mr. Itai Pazner</t>
  </si>
  <si>
    <t>Mr. Yariv Dafna</t>
  </si>
  <si>
    <t>Ms. Naama Kushnir</t>
  </si>
  <si>
    <t>Lord Jon Mendelsohn</t>
  </si>
  <si>
    <t>For the first time 888 launch 'master brand' to unite 888casino, 888sport &amp; 888poker</t>
  </si>
  <si>
    <t>Under 'Made to Play' brand</t>
  </si>
  <si>
    <t>Revenue Growth Y/Y</t>
  </si>
  <si>
    <t>Revenue Growth H/H</t>
  </si>
  <si>
    <t>Tax Rate %</t>
  </si>
  <si>
    <t>Net Margin %</t>
  </si>
  <si>
    <t>Operating Margin %</t>
  </si>
  <si>
    <t>Gross Margin %</t>
  </si>
  <si>
    <t>Gaming Duties</t>
  </si>
  <si>
    <t>Other COGS</t>
  </si>
  <si>
    <t>Total COGS</t>
  </si>
  <si>
    <t>Gross Profit</t>
  </si>
  <si>
    <t>(USD Millions)</t>
  </si>
  <si>
    <t>Marketing Expenses</t>
  </si>
  <si>
    <t>Operating Expenses</t>
  </si>
  <si>
    <t>Exceptional Items</t>
  </si>
  <si>
    <t>Operating Profit</t>
  </si>
  <si>
    <t>Finance Income</t>
  </si>
  <si>
    <t>Finance Expenses</t>
  </si>
  <si>
    <t>Post-tax equity</t>
  </si>
  <si>
    <t>Pretax Income</t>
  </si>
  <si>
    <t>Taxes</t>
  </si>
  <si>
    <t>Net Income</t>
  </si>
  <si>
    <t>EPS</t>
  </si>
  <si>
    <t>Balance Sheet</t>
  </si>
  <si>
    <t>Total NCA</t>
  </si>
  <si>
    <t>Goodwill &amp; OTI</t>
  </si>
  <si>
    <t>Right-of-Use</t>
  </si>
  <si>
    <t>PP&amp;E</t>
  </si>
  <si>
    <t>Non-current prepayments</t>
  </si>
  <si>
    <t>Deferred Taxes</t>
  </si>
  <si>
    <t>Trade &amp; AR</t>
  </si>
  <si>
    <t>Assets</t>
  </si>
  <si>
    <t>Severence Pay</t>
  </si>
  <si>
    <t>Lease Liabilities</t>
  </si>
  <si>
    <t>Total NCL</t>
  </si>
  <si>
    <t>Trade &amp; Other Payables</t>
  </si>
  <si>
    <t>Provisions</t>
  </si>
  <si>
    <t>Income Tax Payable</t>
  </si>
  <si>
    <t>Customer Deposits</t>
  </si>
  <si>
    <t>S/E</t>
  </si>
  <si>
    <t>Liabilities + S/E</t>
  </si>
  <si>
    <t>Liabilities</t>
  </si>
  <si>
    <t>TODO:</t>
  </si>
  <si>
    <t>Revenue breakdown</t>
  </si>
  <si>
    <t>List of fines</t>
  </si>
  <si>
    <t>FY18</t>
  </si>
  <si>
    <t>Loans &amp; Borrowings</t>
  </si>
  <si>
    <t>Investments</t>
  </si>
  <si>
    <t>H218</t>
  </si>
  <si>
    <t>H118</t>
  </si>
  <si>
    <t>(Projected)</t>
  </si>
  <si>
    <t>FY31</t>
  </si>
  <si>
    <t>FY32</t>
  </si>
  <si>
    <t>FY33</t>
  </si>
  <si>
    <t>FY34</t>
  </si>
  <si>
    <t>FY35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</si>
  <si>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</si>
  <si>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</si>
  <si>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</si>
  <si>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</si>
  <si>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</si>
  <si>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</si>
  <si>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</si>
  <si>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888 Launch Sports Illustrated Sportsbook in Virginia</t>
  </si>
  <si>
    <t>Second state launched following 2021 arrival in Colorado.</t>
  </si>
  <si>
    <t>Key Events</t>
  </si>
  <si>
    <t>Offer enhanced in-play markets powered by official data from NBA, NFL, NHL + more</t>
  </si>
  <si>
    <t>888 aim to launch into more states in the coming months</t>
  </si>
  <si>
    <t>USDGBP</t>
  </si>
  <si>
    <t>GBP/USD</t>
  </si>
  <si>
    <t>Net Cash/Desposits</t>
  </si>
  <si>
    <t>Cash/Deposits</t>
  </si>
  <si>
    <t>H122</t>
  </si>
  <si>
    <t>Admit tighter UK gambling restrictions &amp; temp Dutch exit</t>
  </si>
  <si>
    <t>888 Warn of Dent to HY22 Profits, expects £330-335 broadly in-line with expectations</t>
  </si>
  <si>
    <t>Issues £1.02bn debt and borrows further £900m to fund WH acquisition</t>
  </si>
  <si>
    <t>Combined £2.08bn from debt, borrowing &amp; cash (inc. that raised by April placing)</t>
  </si>
  <si>
    <t>Maximum stakes of £2-5 for online casinos, ban on free bets/vip for heavy losers</t>
  </si>
  <si>
    <t>New ombudsman, Gambling commission given new powers &amp; more funding</t>
  </si>
  <si>
    <t>UK Government review of 2005 Gambling Act</t>
  </si>
  <si>
    <t>Online gambling revenues could fall as much as £700m if all proposed goes ahead</t>
  </si>
  <si>
    <t>Analysts suggest this could have a £40m impact on 888]</t>
  </si>
  <si>
    <t>888 Complete Acquisition of William Hill</t>
  </si>
  <si>
    <t>H222</t>
  </si>
  <si>
    <t>-</t>
  </si>
  <si>
    <t>Cashflow Statement</t>
  </si>
  <si>
    <t>Following acquisition group will initially report results in four segments 888 &amp; 3 William Hill segments</t>
  </si>
  <si>
    <t>Profile</t>
  </si>
  <si>
    <t>IR</t>
  </si>
  <si>
    <t>Link</t>
  </si>
  <si>
    <t>HQ</t>
  </si>
  <si>
    <t>Founded</t>
  </si>
  <si>
    <t>Gibraltar</t>
  </si>
  <si>
    <t>GBP/USD %Δ</t>
  </si>
  <si>
    <t>Date</t>
  </si>
  <si>
    <t>Broker</t>
  </si>
  <si>
    <t>Recommendation</t>
  </si>
  <si>
    <t>Old Target</t>
  </si>
  <si>
    <t>New Target</t>
  </si>
  <si>
    <t>Rating Type</t>
  </si>
  <si>
    <t>Berenberg Bank</t>
  </si>
  <si>
    <t>Buy</t>
  </si>
  <si>
    <t>Reiteration</t>
  </si>
  <si>
    <t>JP Morgan Cazenove</t>
  </si>
  <si>
    <t>Neutral</t>
  </si>
  <si>
    <t>Deutsche</t>
  </si>
  <si>
    <t>Canaccord Genuity</t>
  </si>
  <si>
    <t>Peel Hunt Limited</t>
  </si>
  <si>
    <t>Downgrade</t>
  </si>
  <si>
    <t>numis</t>
  </si>
  <si>
    <t>Add</t>
  </si>
  <si>
    <t>Jefferies</t>
  </si>
  <si>
    <t>Overweight</t>
  </si>
  <si>
    <t>Upgrade</t>
  </si>
  <si>
    <t>Hold</t>
  </si>
  <si>
    <t>Bryan, Garnier &amp; Co</t>
  </si>
  <si>
    <t>Share Price</t>
  </si>
  <si>
    <t>Assets Held For Sale</t>
  </si>
  <si>
    <t>Liabilities Held For Sale</t>
  </si>
  <si>
    <t>Book Value</t>
  </si>
  <si>
    <t>Book Value per Share</t>
  </si>
  <si>
    <t>P/B</t>
  </si>
  <si>
    <t>Key Ratios</t>
  </si>
  <si>
    <t>P/E</t>
  </si>
  <si>
    <t>Market Cap</t>
  </si>
  <si>
    <t>Book Value per Share (GBP)</t>
  </si>
  <si>
    <t>Heavy debt in a high rate environment for WH acquisition</t>
  </si>
  <si>
    <t>Uncertainty over ever-delayed UK Govt. whitepaper on gambling</t>
  </si>
  <si>
    <t>888 Holdings launch 888bet in Kenya, Tanzania, Mozambique &amp; Zambia via 888Africa</t>
  </si>
  <si>
    <t>888Africa hit target of four regulated markets within 6 months of founding business</t>
  </si>
  <si>
    <t>Q322</t>
  </si>
  <si>
    <t>P/S</t>
  </si>
  <si>
    <t>EV/S</t>
  </si>
  <si>
    <t>EV/E</t>
  </si>
  <si>
    <t>ROCE</t>
  </si>
  <si>
    <t>888 shares fall 40% as CEO quits following suspension of Middle East VIP service</t>
  </si>
  <si>
    <t xml:space="preserve">Non-exec Chair John Mendelsohn will takeover in the interim </t>
  </si>
  <si>
    <t>Update</t>
  </si>
  <si>
    <t>IPO</t>
  </si>
  <si>
    <t>Derivative Financial Instruments</t>
  </si>
  <si>
    <t>Income Tax Receivables</t>
  </si>
  <si>
    <t>Retirement Benefit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</si>
</sst>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£&quot;#,##0;[Red]\-&quot;£&quot;#,##0"/>
    <numFmt numFmtId="164" formatCode="&quot;£&quot;#,##0.0;[Red]\-&quot;£&quot;#,##0.0"/>
    <numFmt numFmtId="165" formatCode="0.000"/>
    <numFmt numFmtId="166" formatCode="#,##0.0"/>
    <numFmt numFmtId="167" formatCode="#,##0.0_ ;[Red]\-#,##0.0\ "/>
    <numFmt numFmtId="168" formatCode="0.0000"/>
    <numFmt numFmtId="169" formatCode="0.0\x"/>
    <numFmt numFmtId="170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2" tint="-0.899990844447157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10"/>
      <color theme="1"/>
      <name val="Arial"/>
      <family val="2"/>
    </font>
    <font>
      <b/>
      <sz val="11"/>
      <color rgb="FF333333"/>
      <name val="Source Sans Pro"/>
      <family val="2"/>
    </font>
    <font>
      <sz val="11"/>
      <color rgb="FF333333"/>
      <name val="Source Sans Pro"/>
      <family val="2"/>
    </font>
    <font>
      <sz val="11"/>
      <color rgb="FF0084BE"/>
      <name val="Source Sans Pro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2" tint="-0.49998474074526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rgb="FFCCCCC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90">
    <xf numFmtId="0" fontId="0" fillId="0" borderId="0" xfId="0"/>
    <xf numFmtId="6" fontId="4" fillId="0" borderId="0" xfId="0" applyNumberFormat="1" applyFont="1" applyAlignment="1">
      <alignment horizontal="left"/>
    </xf>
    <xf numFmtId="0" fontId="3" fillId="0" borderId="0" xfId="0" applyFont="1"/>
    <xf numFmtId="0" fontId="0" fillId="0" borderId="5" xfId="0" applyBorder="1"/>
    <xf numFmtId="0" fontId="0" fillId="0" borderId="8" xfId="0" applyBorder="1"/>
    <xf numFmtId="0" fontId="0" fillId="4" borderId="9" xfId="0" applyFill="1" applyBorder="1" applyAlignment="1">
      <alignment horizontal="center"/>
    </xf>
    <xf numFmtId="0" fontId="2" fillId="3" borderId="4" xfId="0" applyFont="1" applyFill="1" applyBorder="1"/>
    <xf numFmtId="0" fontId="2" fillId="3" borderId="6" xfId="0" applyFont="1" applyFill="1" applyBorder="1"/>
    <xf numFmtId="0" fontId="5" fillId="4" borderId="9" xfId="2" applyFill="1" applyBorder="1"/>
    <xf numFmtId="0" fontId="1" fillId="4" borderId="0" xfId="0" applyFont="1" applyFill="1"/>
    <xf numFmtId="0" fontId="1" fillId="4" borderId="10" xfId="0" applyFont="1" applyFill="1" applyBorder="1"/>
    <xf numFmtId="0" fontId="7" fillId="4" borderId="9" xfId="0" applyFont="1" applyFill="1" applyBorder="1"/>
    <xf numFmtId="0" fontId="1" fillId="4" borderId="9" xfId="0" applyFont="1" applyFill="1" applyBorder="1" applyAlignment="1">
      <alignment horizontal="left" indent="1"/>
    </xf>
    <xf numFmtId="0" fontId="6" fillId="4" borderId="9" xfId="0" applyFont="1" applyFill="1" applyBorder="1"/>
    <xf numFmtId="0" fontId="1" fillId="4" borderId="9" xfId="0" applyFont="1" applyFill="1" applyBorder="1"/>
    <xf numFmtId="164" fontId="1" fillId="4" borderId="9" xfId="0" applyNumberFormat="1" applyFont="1" applyFill="1" applyBorder="1"/>
    <xf numFmtId="0" fontId="2" fillId="4" borderId="9" xfId="0" applyFont="1" applyFill="1" applyBorder="1"/>
    <xf numFmtId="0" fontId="1" fillId="4" borderId="9" xfId="0" applyFont="1" applyFill="1" applyBorder="1" applyAlignment="1">
      <alignment horizontal="left"/>
    </xf>
    <xf numFmtId="0" fontId="2" fillId="4" borderId="0" xfId="0" applyFont="1" applyFill="1"/>
    <xf numFmtId="0" fontId="8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15" xfId="0" applyFont="1" applyFill="1" applyBorder="1"/>
    <xf numFmtId="0" fontId="1" fillId="4" borderId="16" xfId="0" applyFont="1" applyFill="1" applyBorder="1"/>
    <xf numFmtId="0" fontId="2" fillId="0" borderId="0" xfId="0" applyFont="1"/>
    <xf numFmtId="0" fontId="2" fillId="4" borderId="15" xfId="0" applyFont="1" applyFill="1" applyBorder="1"/>
    <xf numFmtId="0" fontId="0" fillId="4" borderId="11" xfId="0" applyFill="1" applyBorder="1" applyAlignment="1">
      <alignment horizontal="center"/>
    </xf>
    <xf numFmtId="0" fontId="0" fillId="4" borderId="9" xfId="0" applyFill="1" applyBorder="1" applyAlignment="1">
      <alignment horizontal="left"/>
    </xf>
    <xf numFmtId="0" fontId="0" fillId="4" borderId="9" xfId="0" applyFill="1" applyBorder="1" applyAlignment="1">
      <alignment horizontal="left" indent="1"/>
    </xf>
    <xf numFmtId="0" fontId="0" fillId="4" borderId="9" xfId="0" applyFill="1" applyBorder="1" applyAlignment="1">
      <alignment horizontal="left" indent="2"/>
    </xf>
    <xf numFmtId="0" fontId="2" fillId="0" borderId="0" xfId="0" applyFont="1" applyAlignment="1">
      <alignment horizontal="right"/>
    </xf>
    <xf numFmtId="0" fontId="0" fillId="6" borderId="0" xfId="0" applyFill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0" fillId="4" borderId="9" xfId="0" applyFill="1" applyBorder="1"/>
    <xf numFmtId="0" fontId="9" fillId="0" borderId="0" xfId="0" applyFont="1"/>
    <xf numFmtId="9" fontId="0" fillId="0" borderId="0" xfId="1" applyFont="1"/>
    <xf numFmtId="14" fontId="10" fillId="0" borderId="0" xfId="0" applyNumberFormat="1" applyFont="1" applyAlignment="1">
      <alignment horizontal="right"/>
    </xf>
    <xf numFmtId="0" fontId="6" fillId="0" borderId="0" xfId="0" applyFont="1"/>
    <xf numFmtId="165" fontId="0" fillId="0" borderId="0" xfId="0" applyNumberFormat="1"/>
    <xf numFmtId="2" fontId="0" fillId="0" borderId="0" xfId="0" applyNumberFormat="1"/>
    <xf numFmtId="9" fontId="2" fillId="0" borderId="0" xfId="1" applyFont="1"/>
    <xf numFmtId="0" fontId="0" fillId="0" borderId="5" xfId="0" applyBorder="1" applyAlignment="1">
      <alignment horizontal="right"/>
    </xf>
    <xf numFmtId="0" fontId="11" fillId="0" borderId="0" xfId="0" applyFont="1"/>
    <xf numFmtId="0" fontId="12" fillId="0" borderId="0" xfId="0" applyFont="1"/>
    <xf numFmtId="165" fontId="12" fillId="0" borderId="0" xfId="0" applyNumberFormat="1" applyFont="1"/>
    <xf numFmtId="2" fontId="12" fillId="0" borderId="0" xfId="0" applyNumberFormat="1" applyFont="1"/>
    <xf numFmtId="14" fontId="13" fillId="0" borderId="0" xfId="0" applyNumberFormat="1" applyFont="1" applyAlignment="1">
      <alignment horizontal="right"/>
    </xf>
    <xf numFmtId="2" fontId="0" fillId="6" borderId="0" xfId="0" applyNumberFormat="1" applyFill="1"/>
    <xf numFmtId="9" fontId="0" fillId="6" borderId="0" xfId="1" applyFont="1" applyFill="1"/>
    <xf numFmtId="14" fontId="14" fillId="6" borderId="0" xfId="0" applyNumberFormat="1" applyFont="1" applyFill="1" applyAlignment="1">
      <alignment horizontal="right"/>
    </xf>
    <xf numFmtId="9" fontId="0" fillId="0" borderId="0" xfId="0" applyNumberFormat="1"/>
    <xf numFmtId="165" fontId="0" fillId="6" borderId="0" xfId="0" applyNumberFormat="1" applyFill="1"/>
    <xf numFmtId="9" fontId="2" fillId="6" borderId="0" xfId="1" applyFont="1" applyFill="1"/>
    <xf numFmtId="14" fontId="15" fillId="0" borderId="0" xfId="0" applyNumberFormat="1" applyFont="1" applyAlignment="1">
      <alignment horizontal="right"/>
    </xf>
    <xf numFmtId="0" fontId="14" fillId="0" borderId="0" xfId="0" applyFont="1"/>
    <xf numFmtId="0" fontId="12" fillId="6" borderId="0" xfId="0" applyFont="1" applyFill="1"/>
    <xf numFmtId="0" fontId="11" fillId="6" borderId="0" xfId="0" applyFont="1" applyFill="1"/>
    <xf numFmtId="166" fontId="2" fillId="0" borderId="0" xfId="0" applyNumberFormat="1" applyFont="1"/>
    <xf numFmtId="166" fontId="0" fillId="0" borderId="0" xfId="0" applyNumberFormat="1"/>
    <xf numFmtId="9" fontId="0" fillId="0" borderId="3" xfId="0" applyNumberFormat="1" applyBorder="1"/>
    <xf numFmtId="167" fontId="0" fillId="0" borderId="5" xfId="0" applyNumberFormat="1" applyBorder="1"/>
    <xf numFmtId="2" fontId="0" fillId="0" borderId="5" xfId="0" applyNumberFormat="1" applyBorder="1"/>
    <xf numFmtId="9" fontId="0" fillId="0" borderId="8" xfId="1" applyFont="1" applyBorder="1"/>
    <xf numFmtId="4" fontId="0" fillId="0" borderId="0" xfId="0" applyNumberFormat="1"/>
    <xf numFmtId="4" fontId="0" fillId="0" borderId="7" xfId="0" applyNumberFormat="1" applyBorder="1"/>
    <xf numFmtId="0" fontId="0" fillId="2" borderId="1" xfId="0" applyFill="1" applyBorder="1"/>
    <xf numFmtId="0" fontId="0" fillId="2" borderId="4" xfId="0" applyFill="1" applyBorder="1"/>
    <xf numFmtId="0" fontId="2" fillId="2" borderId="4" xfId="0" applyFont="1" applyFill="1" applyBorder="1"/>
    <xf numFmtId="0" fontId="0" fillId="2" borderId="6" xfId="0" applyFill="1" applyBorder="1"/>
    <xf numFmtId="168" fontId="0" fillId="0" borderId="0" xfId="0" applyNumberFormat="1"/>
    <xf numFmtId="168" fontId="0" fillId="6" borderId="0" xfId="1" applyNumberFormat="1" applyFont="1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6" borderId="2" xfId="0" applyFill="1" applyBorder="1"/>
    <xf numFmtId="9" fontId="0" fillId="0" borderId="5" xfId="0" applyNumberFormat="1" applyBorder="1"/>
    <xf numFmtId="0" fontId="0" fillId="8" borderId="19" xfId="0" applyFill="1" applyBorder="1" applyAlignment="1">
      <alignment horizontal="center"/>
    </xf>
    <xf numFmtId="169" fontId="16" fillId="0" borderId="0" xfId="0" applyNumberFormat="1" applyFont="1" applyAlignment="1">
      <alignment horizontal="right"/>
    </xf>
    <xf numFmtId="0" fontId="0" fillId="4" borderId="9" xfId="0" applyFill="1" applyBorder="1" applyAlignment="1">
      <alignment horizontal="left" indent="3"/>
    </xf>
    <xf numFmtId="14" fontId="15" fillId="6" borderId="0" xfId="0" applyNumberFormat="1" applyFont="1" applyFill="1" applyAlignment="1">
      <alignment horizontal="right"/>
    </xf>
    <xf numFmtId="166" fontId="0" fillId="6" borderId="0" xfId="0" applyNumberFormat="1" applyFill="1"/>
    <xf numFmtId="166" fontId="2" fillId="6" borderId="0" xfId="0" applyNumberFormat="1" applyFont="1" applyFill="1"/>
    <xf numFmtId="9" fontId="0" fillId="0" borderId="0" xfId="0" applyNumberFormat="1" applyAlignment="1">
      <alignment horizontal="right"/>
    </xf>
    <xf numFmtId="0" fontId="0" fillId="6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0" fontId="2" fillId="9" borderId="0" xfId="0" applyFont="1" applyFill="1" applyAlignment="1">
      <alignment horizontal="right"/>
    </xf>
    <xf numFmtId="14" fontId="15" fillId="9" borderId="0" xfId="0" applyNumberFormat="1" applyFont="1" applyFill="1" applyAlignment="1">
      <alignment horizontal="right"/>
    </xf>
    <xf numFmtId="166" fontId="2" fillId="9" borderId="0" xfId="0" applyNumberFormat="1" applyFont="1" applyFill="1"/>
    <xf numFmtId="166" fontId="0" fillId="9" borderId="0" xfId="0" applyNumberFormat="1" applyFill="1"/>
    <xf numFmtId="0" fontId="0" fillId="9" borderId="0" xfId="0" applyFill="1"/>
    <xf numFmtId="9" fontId="0" fillId="9" borderId="0" xfId="1" applyFont="1" applyFill="1"/>
    <xf numFmtId="9" fontId="2" fillId="9" borderId="0" xfId="1" applyFont="1" applyFill="1"/>
    <xf numFmtId="0" fontId="2" fillId="9" borderId="0" xfId="0" applyFont="1" applyFill="1"/>
    <xf numFmtId="0" fontId="11" fillId="10" borderId="9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6" borderId="7" xfId="0" applyFont="1" applyFill="1" applyBorder="1"/>
    <xf numFmtId="0" fontId="17" fillId="12" borderId="20" xfId="0" applyFont="1" applyFill="1" applyBorder="1" applyAlignment="1">
      <alignment horizontal="left" vertical="center"/>
    </xf>
    <xf numFmtId="15" fontId="18" fillId="11" borderId="20" xfId="0" applyNumberFormat="1" applyFont="1" applyFill="1" applyBorder="1" applyAlignment="1">
      <alignment horizontal="left" vertical="center"/>
    </xf>
    <xf numFmtId="0" fontId="18" fillId="11" borderId="20" xfId="0" applyFont="1" applyFill="1" applyBorder="1" applyAlignment="1">
      <alignment horizontal="left" vertical="center"/>
    </xf>
    <xf numFmtId="0" fontId="5" fillId="11" borderId="20" xfId="2" applyFill="1" applyBorder="1" applyAlignment="1">
      <alignment horizontal="left" vertical="center"/>
    </xf>
    <xf numFmtId="0" fontId="19" fillId="11" borderId="20" xfId="0" applyFont="1" applyFill="1" applyBorder="1" applyAlignment="1">
      <alignment horizontal="left" vertical="center"/>
    </xf>
    <xf numFmtId="15" fontId="18" fillId="12" borderId="20" xfId="0" applyNumberFormat="1" applyFont="1" applyFill="1" applyBorder="1" applyAlignment="1">
      <alignment horizontal="left" vertical="center"/>
    </xf>
    <xf numFmtId="0" fontId="18" fillId="12" borderId="20" xfId="0" applyFont="1" applyFill="1" applyBorder="1" applyAlignment="1">
      <alignment horizontal="left" vertical="center"/>
    </xf>
    <xf numFmtId="0" fontId="5" fillId="12" borderId="20" xfId="2" applyFill="1" applyBorder="1" applyAlignment="1">
      <alignment horizontal="left" vertical="center"/>
    </xf>
    <xf numFmtId="0" fontId="19" fillId="12" borderId="20" xfId="0" applyFont="1" applyFill="1" applyBorder="1" applyAlignment="1">
      <alignment horizontal="left" vertical="center"/>
    </xf>
    <xf numFmtId="0" fontId="17" fillId="12" borderId="0" xfId="0" applyFont="1" applyFill="1" applyAlignment="1">
      <alignment horizontal="left" vertical="center"/>
    </xf>
    <xf numFmtId="14" fontId="14" fillId="0" borderId="0" xfId="0" applyNumberFormat="1" applyFont="1"/>
    <xf numFmtId="169" fontId="16" fillId="6" borderId="0" xfId="0" applyNumberFormat="1" applyFont="1" applyFill="1" applyAlignment="1">
      <alignment horizontal="right"/>
    </xf>
    <xf numFmtId="170" fontId="0" fillId="6" borderId="0" xfId="0" applyNumberFormat="1" applyFill="1"/>
    <xf numFmtId="170" fontId="11" fillId="0" borderId="0" xfId="0" applyNumberFormat="1" applyFont="1"/>
    <xf numFmtId="0" fontId="20" fillId="0" borderId="0" xfId="0" applyFont="1"/>
    <xf numFmtId="0" fontId="20" fillId="9" borderId="0" xfId="0" applyFont="1" applyFill="1"/>
    <xf numFmtId="166" fontId="20" fillId="0" borderId="0" xfId="0" applyNumberFormat="1" applyFont="1"/>
    <xf numFmtId="0" fontId="20" fillId="6" borderId="0" xfId="0" applyFont="1" applyFill="1"/>
    <xf numFmtId="169" fontId="0" fillId="0" borderId="0" xfId="0" applyNumberFormat="1"/>
    <xf numFmtId="9" fontId="1" fillId="6" borderId="0" xfId="1" applyFont="1" applyFill="1"/>
    <xf numFmtId="169" fontId="0" fillId="6" borderId="0" xfId="0" applyNumberFormat="1" applyFill="1"/>
    <xf numFmtId="0" fontId="21" fillId="0" borderId="0" xfId="0" applyFont="1"/>
    <xf numFmtId="169" fontId="0" fillId="4" borderId="0" xfId="0" applyNumberFormat="1" applyFill="1" applyAlignment="1">
      <alignment horizontal="center"/>
    </xf>
    <xf numFmtId="169" fontId="0" fillId="4" borderId="10" xfId="0" applyNumberFormat="1" applyFill="1" applyBorder="1" applyAlignment="1">
      <alignment horizontal="center"/>
    </xf>
    <xf numFmtId="0" fontId="22" fillId="4" borderId="9" xfId="2" applyFont="1" applyFill="1" applyBorder="1"/>
    <xf numFmtId="0" fontId="21" fillId="4" borderId="9" xfId="0" applyFont="1" applyFill="1" applyBorder="1" applyAlignment="1">
      <alignment horizontal="center"/>
    </xf>
    <xf numFmtId="0" fontId="16" fillId="0" borderId="0" xfId="0" applyFont="1"/>
    <xf numFmtId="17" fontId="0" fillId="4" borderId="10" xfId="0" applyNumberFormat="1" applyFill="1" applyBorder="1" applyAlignment="1">
      <alignment horizontal="center"/>
    </xf>
    <xf numFmtId="0" fontId="0" fillId="0" borderId="0" xfId="0" applyBorder="1"/>
    <xf numFmtId="0" fontId="5" fillId="0" borderId="0" xfId="2" applyAlignment="1">
      <alignment horizontal="right"/>
    </xf>
    <xf numFmtId="0" fontId="0" fillId="0" borderId="0" xfId="0" applyFont="1" applyAlignment="1">
      <alignment horizontal="right"/>
    </xf>
    <xf numFmtId="0" fontId="23" fillId="9" borderId="0" xfId="0" applyFont="1" applyFill="1" applyAlignment="1">
      <alignment horizontal="right"/>
    </xf>
    <xf numFmtId="14" fontId="24" fillId="9" borderId="0" xfId="0" applyNumberFormat="1" applyFont="1" applyFill="1" applyAlignment="1">
      <alignment horizontal="right"/>
    </xf>
    <xf numFmtId="166" fontId="23" fillId="9" borderId="0" xfId="0" applyNumberFormat="1" applyFont="1" applyFill="1"/>
    <xf numFmtId="166" fontId="16" fillId="9" borderId="0" xfId="0" applyNumberFormat="1" applyFont="1" applyFill="1"/>
    <xf numFmtId="0" fontId="16" fillId="9" borderId="0" xfId="0" applyFont="1" applyFill="1"/>
    <xf numFmtId="9" fontId="16" fillId="9" borderId="0" xfId="1" applyFont="1" applyFill="1"/>
    <xf numFmtId="9" fontId="23" fillId="9" borderId="0" xfId="1" applyFont="1" applyFill="1"/>
    <xf numFmtId="0" fontId="23" fillId="6" borderId="0" xfId="0" applyFont="1" applyFill="1" applyAlignment="1">
      <alignment horizontal="right"/>
    </xf>
    <xf numFmtId="14" fontId="24" fillId="6" borderId="0" xfId="0" applyNumberFormat="1" applyFont="1" applyFill="1" applyAlignment="1">
      <alignment horizontal="right"/>
    </xf>
    <xf numFmtId="166" fontId="23" fillId="6" borderId="0" xfId="0" applyNumberFormat="1" applyFont="1" applyFill="1"/>
    <xf numFmtId="166" fontId="16" fillId="6" borderId="0" xfId="0" applyNumberFormat="1" applyFont="1" applyFill="1"/>
    <xf numFmtId="0" fontId="16" fillId="6" borderId="0" xfId="0" applyFont="1" applyFill="1"/>
    <xf numFmtId="9" fontId="16" fillId="6" borderId="0" xfId="1" applyFont="1" applyFill="1"/>
    <xf numFmtId="9" fontId="23" fillId="6" borderId="0" xfId="1" applyFont="1" applyFill="1"/>
    <xf numFmtId="166" fontId="12" fillId="6" borderId="0" xfId="0" applyNumberFormat="1" applyFont="1" applyFill="1"/>
    <xf numFmtId="166" fontId="0" fillId="0" borderId="0" xfId="0" applyNumberFormat="1" applyBorder="1"/>
    <xf numFmtId="166" fontId="11" fillId="6" borderId="0" xfId="0" applyNumberFormat="1" applyFont="1" applyFill="1"/>
    <xf numFmtId="166" fontId="0" fillId="0" borderId="2" xfId="0" applyNumberFormat="1" applyBorder="1"/>
    <xf numFmtId="0" fontId="0" fillId="9" borderId="2" xfId="0" applyFill="1" applyBorder="1"/>
    <xf numFmtId="0" fontId="0" fillId="6" borderId="0" xfId="0" applyFill="1" applyBorder="1"/>
    <xf numFmtId="0" fontId="0" fillId="9" borderId="0" xfId="0" applyFill="1" applyBorder="1"/>
    <xf numFmtId="166" fontId="2" fillId="0" borderId="7" xfId="0" applyNumberFormat="1" applyFont="1" applyBorder="1"/>
    <xf numFmtId="0" fontId="2" fillId="9" borderId="7" xfId="0" applyFont="1" applyFill="1" applyBorder="1"/>
    <xf numFmtId="169" fontId="0" fillId="4" borderId="0" xfId="0" applyNumberFormat="1" applyFill="1" applyAlignment="1">
      <alignment horizontal="center"/>
    </xf>
    <xf numFmtId="169" fontId="0" fillId="4" borderId="1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0" fontId="21" fillId="4" borderId="10" xfId="0" applyFont="1" applyFill="1" applyBorder="1" applyAlignment="1">
      <alignment horizontal="center"/>
    </xf>
    <xf numFmtId="0" fontId="5" fillId="4" borderId="7" xfId="2" applyFill="1" applyBorder="1" applyAlignment="1">
      <alignment horizontal="center"/>
    </xf>
    <xf numFmtId="0" fontId="5" fillId="4" borderId="8" xfId="2" applyFill="1" applyBorder="1" applyAlignment="1">
      <alignment horizontal="center"/>
    </xf>
    <xf numFmtId="4" fontId="0" fillId="9" borderId="0" xfId="0" applyNumberFormat="1" applyFill="1"/>
    <xf numFmtId="0" fontId="2" fillId="13" borderId="0" xfId="0" applyFont="1" applyFill="1" applyAlignment="1">
      <alignment horizontal="right"/>
    </xf>
    <xf numFmtId="14" fontId="15" fillId="13" borderId="0" xfId="0" applyNumberFormat="1" applyFont="1" applyFill="1" applyAlignment="1">
      <alignment horizontal="right"/>
    </xf>
    <xf numFmtId="166" fontId="2" fillId="13" borderId="0" xfId="0" applyNumberFormat="1" applyFont="1" applyFill="1"/>
    <xf numFmtId="166" fontId="0" fillId="13" borderId="0" xfId="0" applyNumberFormat="1" applyFill="1"/>
    <xf numFmtId="0" fontId="0" fillId="13" borderId="0" xfId="0" applyFill="1"/>
    <xf numFmtId="9" fontId="0" fillId="13" borderId="0" xfId="1" applyFont="1" applyFill="1"/>
    <xf numFmtId="166" fontId="2" fillId="14" borderId="0" xfId="0" applyNumberFormat="1" applyFont="1" applyFill="1"/>
    <xf numFmtId="166" fontId="0" fillId="14" borderId="0" xfId="0" applyNumberFormat="1" applyFill="1"/>
    <xf numFmtId="0" fontId="0" fillId="14" borderId="0" xfId="0" applyFill="1"/>
    <xf numFmtId="9" fontId="2" fillId="14" borderId="0" xfId="1" applyFont="1" applyFill="1"/>
    <xf numFmtId="9" fontId="0" fillId="14" borderId="0" xfId="1" applyFont="1" applyFill="1"/>
    <xf numFmtId="0" fontId="5" fillId="13" borderId="0" xfId="2" applyFill="1" applyAlignment="1">
      <alignment horizontal="right"/>
    </xf>
    <xf numFmtId="14" fontId="10" fillId="13" borderId="0" xfId="0" applyNumberFormat="1" applyFont="1" applyFill="1" applyAlignment="1">
      <alignment horizontal="right"/>
    </xf>
    <xf numFmtId="165" fontId="0" fillId="13" borderId="0" xfId="0" applyNumberFormat="1" applyFill="1"/>
    <xf numFmtId="2" fontId="0" fillId="13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0</xdr:rowOff>
    </xdr:from>
    <xdr:to>
      <xdr:col>6</xdr:col>
      <xdr:colOff>567748</xdr:colOff>
      <xdr:row>3</xdr:row>
      <xdr:rowOff>89973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0950E1-EE43-4068-821F-EC23E8B3F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190500"/>
          <a:ext cx="1129723" cy="528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4</xdr:row>
      <xdr:rowOff>95250</xdr:rowOff>
    </xdr:from>
    <xdr:to>
      <xdr:col>7</xdr:col>
      <xdr:colOff>363332</xdr:colOff>
      <xdr:row>13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FA2067-9BD4-4AF4-8A35-490B78FDA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914400"/>
          <a:ext cx="1887332" cy="1800225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47625</xdr:colOff>
      <xdr:row>0</xdr:row>
      <xdr:rowOff>114300</xdr:rowOff>
    </xdr:from>
    <xdr:to>
      <xdr:col>29</xdr:col>
      <xdr:colOff>104755</xdr:colOff>
      <xdr:row>18</xdr:row>
      <xdr:rowOff>92075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6CF4F5-0EB5-40AE-ADB0-CEB56B35B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2325" y="114300"/>
          <a:ext cx="6553180" cy="346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0</xdr:rowOff>
    </xdr:from>
    <xdr:to>
      <xdr:col>12</xdr:col>
      <xdr:colOff>28575</xdr:colOff>
      <xdr:row>94</xdr:row>
      <xdr:rowOff>161925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67570D5-AE70-4194-8881-74AB3522C3EF}"/>
            </a:ext>
          </a:extLst>
        </xdr:cNvPr>
        <xdr:cNvCxnSpPr/>
      </xdr:nvCxnSpPr>
      <xdr:spPr>
        <a:xfrm>
          <a:off x="8496300" y="0"/>
          <a:ext cx="0" cy="180689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0</xdr:row>
      <xdr:rowOff>0</xdr:rowOff>
    </xdr:from>
    <xdr:to>
      <xdr:col>20</xdr:col>
      <xdr:colOff>9525</xdr:colOff>
      <xdr:row>94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68E8A9A-25CB-43A5-8991-CD38BDB74814}"/>
            </a:ext>
          </a:extLst>
        </xdr:cNvPr>
        <xdr:cNvCxnSpPr/>
      </xdr:nvCxnSpPr>
      <xdr:spPr>
        <a:xfrm>
          <a:off x="13373100" y="0"/>
          <a:ext cx="0" cy="180689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rporate.888.com/investor-centre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uk.advfn.com/stock-market/london/888-888/share-news/888-Holdings-plc-Completion-of-acquisition-of-Will/88501727" TargetMode="External"/><Relationship Id="rId1" Type="http://schemas.openxmlformats.org/officeDocument/2006/relationships/hyperlink" Target="https://www.sharecast.com/news/news-and-announcements/government-poised-to-cap-online-casino-stakes---report--10089136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reuters.com/world/uk/british-bookmaker-888-suspends-vip-activities-middle-east-ceo-steps-down-2023-01-30/" TargetMode="External"/><Relationship Id="rId4" Type="http://schemas.openxmlformats.org/officeDocument/2006/relationships/hyperlink" Target="https://www.gamblinginsider.com/news/18500/888bet-goes-live-in-kenya-tanzania-mozambique-and-zambi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extension://elhekieabhbkpmcefcoobjddigjcaadp/https:/corporate.888.com/application/files/4416/8145/1789/FY22_Results_Statement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se.co.uk/share-prices/broker-ratings/brokers/berenberg-bank.html" TargetMode="External"/><Relationship Id="rId18" Type="http://schemas.openxmlformats.org/officeDocument/2006/relationships/hyperlink" Target="https://www.lse.co.uk/share-prices/broker-ratings/brokers/canaccord-genuity.html" TargetMode="External"/><Relationship Id="rId26" Type="http://schemas.openxmlformats.org/officeDocument/2006/relationships/hyperlink" Target="https://www.lse.co.uk/share-prices/broker-ratings/brokers/jp-morgan-cazenove.html" TargetMode="External"/><Relationship Id="rId39" Type="http://schemas.openxmlformats.org/officeDocument/2006/relationships/hyperlink" Target="https://www.lse.co.uk/share-prices/broker-ratings/brokers/canaccord-genuity.html" TargetMode="External"/><Relationship Id="rId21" Type="http://schemas.openxmlformats.org/officeDocument/2006/relationships/hyperlink" Target="https://www.lse.co.uk/share-prices/broker-ratings/brokers/berenberg-bank.html" TargetMode="External"/><Relationship Id="rId34" Type="http://schemas.openxmlformats.org/officeDocument/2006/relationships/hyperlink" Target="https://www.lse.co.uk/share-prices/broker-ratings/brokers/peel-hunt-limited.html" TargetMode="External"/><Relationship Id="rId42" Type="http://schemas.openxmlformats.org/officeDocument/2006/relationships/hyperlink" Target="https://www.lse.co.uk/share-prices/broker-ratings/brokers/canaccord-genuity.html" TargetMode="External"/><Relationship Id="rId47" Type="http://schemas.openxmlformats.org/officeDocument/2006/relationships/hyperlink" Target="https://www.lse.co.uk/share-prices/broker-ratings/brokers/canaccord-genuity.html" TargetMode="External"/><Relationship Id="rId50" Type="http://schemas.openxmlformats.org/officeDocument/2006/relationships/hyperlink" Target="https://www.lse.co.uk/share-prices/broker-ratings/brokers/bryan-garnier-co.html" TargetMode="External"/><Relationship Id="rId7" Type="http://schemas.openxmlformats.org/officeDocument/2006/relationships/hyperlink" Target="https://www.lse.co.uk/share-prices/broker-ratings/brokers/canaccord-genuity.html" TargetMode="External"/><Relationship Id="rId2" Type="http://schemas.openxmlformats.org/officeDocument/2006/relationships/hyperlink" Target="https://www.lse.co.uk/share-prices/broker-ratings/brokers/jp-morgan-cazenove.html" TargetMode="External"/><Relationship Id="rId16" Type="http://schemas.openxmlformats.org/officeDocument/2006/relationships/hyperlink" Target="https://www.lse.co.uk/share-prices/broker-ratings/brokers/canaccord-genuity.html" TargetMode="External"/><Relationship Id="rId29" Type="http://schemas.openxmlformats.org/officeDocument/2006/relationships/hyperlink" Target="https://www.lse.co.uk/share-prices/broker-ratings/brokers/jefferies.html" TargetMode="External"/><Relationship Id="rId11" Type="http://schemas.openxmlformats.org/officeDocument/2006/relationships/hyperlink" Target="https://www.lse.co.uk/share-prices/broker-ratings/brokers/berenberg-bank.html" TargetMode="External"/><Relationship Id="rId24" Type="http://schemas.openxmlformats.org/officeDocument/2006/relationships/hyperlink" Target="https://www.lse.co.uk/share-prices/broker-ratings/brokers/canaccord-genuity.html" TargetMode="External"/><Relationship Id="rId32" Type="http://schemas.openxmlformats.org/officeDocument/2006/relationships/hyperlink" Target="https://www.lse.co.uk/share-prices/broker-ratings/brokers/canaccord-genuity.html" TargetMode="External"/><Relationship Id="rId37" Type="http://schemas.openxmlformats.org/officeDocument/2006/relationships/hyperlink" Target="https://www.lse.co.uk/share-prices/broker-ratings/brokers/canaccord-genuity.html" TargetMode="External"/><Relationship Id="rId40" Type="http://schemas.openxmlformats.org/officeDocument/2006/relationships/hyperlink" Target="https://www.lse.co.uk/share-prices/broker-ratings/brokers/numis.html" TargetMode="External"/><Relationship Id="rId45" Type="http://schemas.openxmlformats.org/officeDocument/2006/relationships/hyperlink" Target="https://www.lse.co.uk/share-prices/broker-ratings/brokers/canaccord-genuity.html" TargetMode="External"/><Relationship Id="rId5" Type="http://schemas.openxmlformats.org/officeDocument/2006/relationships/hyperlink" Target="https://www.lse.co.uk/share-prices/broker-ratings/brokers/berenberg-bank.html" TargetMode="External"/><Relationship Id="rId15" Type="http://schemas.openxmlformats.org/officeDocument/2006/relationships/hyperlink" Target="https://www.lse.co.uk/share-prices/broker-ratings/brokers/peel-hunt-limited.html" TargetMode="External"/><Relationship Id="rId23" Type="http://schemas.openxmlformats.org/officeDocument/2006/relationships/hyperlink" Target="https://www.lse.co.uk/share-prices/broker-ratings/brokers/canaccord-genuity.html" TargetMode="External"/><Relationship Id="rId28" Type="http://schemas.openxmlformats.org/officeDocument/2006/relationships/hyperlink" Target="https://www.lse.co.uk/share-prices/broker-ratings/brokers/numis.html" TargetMode="External"/><Relationship Id="rId36" Type="http://schemas.openxmlformats.org/officeDocument/2006/relationships/hyperlink" Target="https://www.lse.co.uk/share-prices/broker-ratings/brokers/numis.html" TargetMode="External"/><Relationship Id="rId49" Type="http://schemas.openxmlformats.org/officeDocument/2006/relationships/hyperlink" Target="https://www.lse.co.uk/share-prices/broker-ratings/brokers/canaccord-genuity.html" TargetMode="External"/><Relationship Id="rId10" Type="http://schemas.openxmlformats.org/officeDocument/2006/relationships/hyperlink" Target="https://www.lse.co.uk/share-prices/broker-ratings/brokers/canaccord-genuity.html" TargetMode="External"/><Relationship Id="rId19" Type="http://schemas.openxmlformats.org/officeDocument/2006/relationships/hyperlink" Target="https://www.lse.co.uk/share-prices/broker-ratings/brokers/berenberg-bank.html" TargetMode="External"/><Relationship Id="rId31" Type="http://schemas.openxmlformats.org/officeDocument/2006/relationships/hyperlink" Target="https://www.lse.co.uk/share-prices/broker-ratings/brokers/deutsche.html" TargetMode="External"/><Relationship Id="rId44" Type="http://schemas.openxmlformats.org/officeDocument/2006/relationships/hyperlink" Target="https://www.lse.co.uk/share-prices/broker-ratings/brokers/numis.html" TargetMode="External"/><Relationship Id="rId4" Type="http://schemas.openxmlformats.org/officeDocument/2006/relationships/hyperlink" Target="https://www.lse.co.uk/share-prices/broker-ratings/brokers/deutsche.html" TargetMode="External"/><Relationship Id="rId9" Type="http://schemas.openxmlformats.org/officeDocument/2006/relationships/hyperlink" Target="https://www.lse.co.uk/share-prices/broker-ratings/brokers/berenberg-bank.html" TargetMode="External"/><Relationship Id="rId14" Type="http://schemas.openxmlformats.org/officeDocument/2006/relationships/hyperlink" Target="https://www.lse.co.uk/share-prices/broker-ratings/brokers/peel-hunt-limited.html" TargetMode="External"/><Relationship Id="rId22" Type="http://schemas.openxmlformats.org/officeDocument/2006/relationships/hyperlink" Target="https://www.lse.co.uk/share-prices/broker-ratings/brokers/peel-hunt-limited.html" TargetMode="External"/><Relationship Id="rId27" Type="http://schemas.openxmlformats.org/officeDocument/2006/relationships/hyperlink" Target="https://www.lse.co.uk/share-prices/broker-ratings/brokers/peel-hunt-limited.html" TargetMode="External"/><Relationship Id="rId30" Type="http://schemas.openxmlformats.org/officeDocument/2006/relationships/hyperlink" Target="https://www.lse.co.uk/share-prices/broker-ratings/brokers/jp-morgan-cazenove.html" TargetMode="External"/><Relationship Id="rId35" Type="http://schemas.openxmlformats.org/officeDocument/2006/relationships/hyperlink" Target="https://www.lse.co.uk/share-prices/broker-ratings/brokers/canaccord-genuity.html" TargetMode="External"/><Relationship Id="rId43" Type="http://schemas.openxmlformats.org/officeDocument/2006/relationships/hyperlink" Target="https://www.lse.co.uk/share-prices/broker-ratings/brokers/canaccord-genuity.html" TargetMode="External"/><Relationship Id="rId48" Type="http://schemas.openxmlformats.org/officeDocument/2006/relationships/hyperlink" Target="https://www.lse.co.uk/share-prices/broker-ratings/brokers/jp-morgan-cazenove.html" TargetMode="External"/><Relationship Id="rId8" Type="http://schemas.openxmlformats.org/officeDocument/2006/relationships/hyperlink" Target="https://www.lse.co.uk/share-prices/broker-ratings/brokers/berenberg-bank.html" TargetMode="External"/><Relationship Id="rId51" Type="http://schemas.openxmlformats.org/officeDocument/2006/relationships/printerSettings" Target="../printerSettings/printerSettings4.bin"/><Relationship Id="rId3" Type="http://schemas.openxmlformats.org/officeDocument/2006/relationships/hyperlink" Target="https://www.lse.co.uk/share-prices/broker-ratings/brokers/berenberg-bank.html" TargetMode="External"/><Relationship Id="rId12" Type="http://schemas.openxmlformats.org/officeDocument/2006/relationships/hyperlink" Target="https://www.lse.co.uk/share-prices/broker-ratings/brokers/berenberg-bank.html" TargetMode="External"/><Relationship Id="rId17" Type="http://schemas.openxmlformats.org/officeDocument/2006/relationships/hyperlink" Target="https://www.lse.co.uk/share-prices/broker-ratings/brokers/berenberg-bank.html" TargetMode="External"/><Relationship Id="rId25" Type="http://schemas.openxmlformats.org/officeDocument/2006/relationships/hyperlink" Target="https://www.lse.co.uk/share-prices/broker-ratings/brokers/berenberg-bank.html" TargetMode="External"/><Relationship Id="rId33" Type="http://schemas.openxmlformats.org/officeDocument/2006/relationships/hyperlink" Target="https://www.lse.co.uk/share-prices/broker-ratings/brokers/canaccord-genuity.html" TargetMode="External"/><Relationship Id="rId38" Type="http://schemas.openxmlformats.org/officeDocument/2006/relationships/hyperlink" Target="https://www.lse.co.uk/share-prices/broker-ratings/brokers/canaccord-genuity.html" TargetMode="External"/><Relationship Id="rId46" Type="http://schemas.openxmlformats.org/officeDocument/2006/relationships/hyperlink" Target="https://www.lse.co.uk/share-prices/broker-ratings/brokers/peel-hunt-limited.html" TargetMode="External"/><Relationship Id="rId20" Type="http://schemas.openxmlformats.org/officeDocument/2006/relationships/hyperlink" Target="https://www.lse.co.uk/share-prices/broker-ratings/brokers/berenberg-bank.html" TargetMode="External"/><Relationship Id="rId41" Type="http://schemas.openxmlformats.org/officeDocument/2006/relationships/hyperlink" Target="https://www.lse.co.uk/share-prices/broker-ratings/brokers/canaccord-genuity.html" TargetMode="External"/><Relationship Id="rId1" Type="http://schemas.openxmlformats.org/officeDocument/2006/relationships/hyperlink" Target="https://www.lse.co.uk/share-prices/broker-ratings/brokers/berenberg-bank.html" TargetMode="External"/><Relationship Id="rId6" Type="http://schemas.openxmlformats.org/officeDocument/2006/relationships/hyperlink" Target="https://www.lse.co.uk/share-prices/broker-ratings/brokers/berenberg-ban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22C3-98AA-4801-8F7F-DD6AC2F99904}">
  <dimension ref="B2:S68"/>
  <sheetViews>
    <sheetView tabSelected="1" topLeftCell="A13" workbookViewId="0">
      <selection activeCell="V32" sqref="V32"/>
    </sheetView>
  </sheetViews>
  <sheetFormatPr defaultColWidth="8.85546875" defaultRowHeight="15" x14ac:dyDescent="0.25"/>
  <cols>
    <col min="2" max="2" width="8.85546875" customWidth="1"/>
    <col min="4" max="4" width="13.42578125" customWidth="1"/>
  </cols>
  <sheetData>
    <row r="2" spans="2:17" ht="18.75" x14ac:dyDescent="0.3">
      <c r="B2" s="1">
        <v>888</v>
      </c>
    </row>
    <row r="3" spans="2:17" ht="15.75" x14ac:dyDescent="0.25">
      <c r="B3" s="2" t="s">
        <v>7</v>
      </c>
    </row>
    <row r="5" spans="2:17" x14ac:dyDescent="0.25">
      <c r="B5" s="161" t="s">
        <v>8</v>
      </c>
      <c r="C5" s="162"/>
      <c r="D5" s="163"/>
      <c r="I5" s="158" t="s">
        <v>129</v>
      </c>
      <c r="J5" s="159"/>
      <c r="K5" s="159"/>
      <c r="L5" s="159"/>
      <c r="M5" s="159"/>
      <c r="N5" s="159"/>
      <c r="O5" s="159"/>
      <c r="P5" s="159"/>
      <c r="Q5" s="160"/>
    </row>
    <row r="6" spans="2:17" x14ac:dyDescent="0.25">
      <c r="B6" s="6" t="s">
        <v>0</v>
      </c>
      <c r="C6" s="64">
        <v>0.75</v>
      </c>
      <c r="D6" s="3"/>
      <c r="I6" s="13"/>
      <c r="J6" s="9"/>
      <c r="K6" s="18"/>
      <c r="L6" s="18"/>
      <c r="M6" s="18"/>
      <c r="N6" s="18"/>
      <c r="O6" s="18"/>
      <c r="P6" s="9"/>
      <c r="Q6" s="10"/>
    </row>
    <row r="7" spans="2:17" x14ac:dyDescent="0.25">
      <c r="B7" s="6" t="s">
        <v>1</v>
      </c>
      <c r="C7" s="64">
        <v>426.53639199999998</v>
      </c>
      <c r="D7" s="42" t="s">
        <v>49</v>
      </c>
      <c r="I7" s="124" t="s">
        <v>199</v>
      </c>
      <c r="J7" s="9"/>
      <c r="K7" s="18"/>
      <c r="L7" s="18"/>
      <c r="M7" s="18"/>
      <c r="N7" s="18"/>
      <c r="O7" s="18"/>
      <c r="P7" s="9"/>
      <c r="Q7" s="10"/>
    </row>
    <row r="8" spans="2:17" x14ac:dyDescent="0.25">
      <c r="B8" s="6" t="s">
        <v>2</v>
      </c>
      <c r="C8" s="64">
        <f>C6*C7</f>
        <v>319.90229399999998</v>
      </c>
      <c r="D8" s="3"/>
      <c r="I8" s="28" t="s">
        <v>200</v>
      </c>
      <c r="J8" s="9"/>
      <c r="K8" s="18"/>
      <c r="L8" s="18"/>
      <c r="M8" s="18"/>
      <c r="N8" s="18"/>
      <c r="O8" s="18"/>
      <c r="P8" s="9"/>
      <c r="Q8" s="10"/>
    </row>
    <row r="9" spans="2:17" x14ac:dyDescent="0.25">
      <c r="B9" s="6" t="s">
        <v>3</v>
      </c>
      <c r="C9" s="64">
        <v>186</v>
      </c>
      <c r="D9" s="42" t="s">
        <v>194</v>
      </c>
      <c r="I9" s="13"/>
      <c r="J9" s="9"/>
      <c r="K9" s="18"/>
      <c r="L9" s="18"/>
      <c r="M9" s="18"/>
      <c r="N9" s="18"/>
      <c r="O9" s="18"/>
      <c r="P9" s="9"/>
      <c r="Q9" s="10"/>
    </row>
    <row r="10" spans="2:17" x14ac:dyDescent="0.25">
      <c r="B10" s="6" t="s">
        <v>4</v>
      </c>
      <c r="C10" s="64">
        <v>1810</v>
      </c>
      <c r="D10" s="42" t="s">
        <v>194</v>
      </c>
      <c r="I10" s="8" t="s">
        <v>192</v>
      </c>
      <c r="J10" s="9"/>
      <c r="K10" s="18"/>
      <c r="L10" s="18"/>
      <c r="M10" s="18"/>
      <c r="N10" s="18"/>
      <c r="O10" s="18"/>
      <c r="P10" s="9"/>
      <c r="Q10" s="10"/>
    </row>
    <row r="11" spans="2:17" x14ac:dyDescent="0.25">
      <c r="B11" s="6" t="s">
        <v>5</v>
      </c>
      <c r="C11" s="64">
        <f>C9-C10</f>
        <v>-1624</v>
      </c>
      <c r="D11" s="3"/>
      <c r="I11" s="28" t="s">
        <v>193</v>
      </c>
      <c r="J11" s="9"/>
      <c r="K11" s="18"/>
      <c r="L11" s="18"/>
      <c r="M11" s="18"/>
      <c r="N11" s="18"/>
      <c r="O11" s="18"/>
      <c r="P11" s="9"/>
      <c r="Q11" s="10"/>
    </row>
    <row r="12" spans="2:17" x14ac:dyDescent="0.25">
      <c r="B12" s="7" t="s">
        <v>6</v>
      </c>
      <c r="C12" s="65">
        <f>C8-C11</f>
        <v>1943.902294</v>
      </c>
      <c r="D12" s="4"/>
      <c r="I12" s="13"/>
      <c r="J12" s="9"/>
      <c r="K12" s="18"/>
      <c r="L12" s="18"/>
      <c r="M12" s="18"/>
      <c r="N12" s="18"/>
      <c r="O12" s="18"/>
      <c r="P12" s="9"/>
      <c r="Q12" s="10"/>
    </row>
    <row r="13" spans="2:17" x14ac:dyDescent="0.25">
      <c r="B13" s="164" t="s">
        <v>132</v>
      </c>
      <c r="C13" s="165"/>
      <c r="D13" s="77">
        <v>0.88</v>
      </c>
      <c r="I13" s="8" t="s">
        <v>146</v>
      </c>
      <c r="J13" s="9"/>
      <c r="K13" s="18"/>
      <c r="L13" s="18"/>
      <c r="M13" s="18"/>
      <c r="N13" s="18"/>
      <c r="O13" s="18"/>
      <c r="P13" s="9"/>
      <c r="Q13" s="10"/>
    </row>
    <row r="14" spans="2:17" x14ac:dyDescent="0.25">
      <c r="I14" s="28" t="s">
        <v>150</v>
      </c>
      <c r="J14" s="9"/>
      <c r="K14" s="18"/>
      <c r="L14" s="18"/>
      <c r="M14" s="18"/>
      <c r="N14" s="18"/>
      <c r="O14" s="18"/>
      <c r="P14" s="9"/>
      <c r="Q14" s="10"/>
    </row>
    <row r="15" spans="2:17" x14ac:dyDescent="0.25">
      <c r="I15" s="13"/>
      <c r="J15" s="9"/>
      <c r="K15" s="18"/>
      <c r="L15" s="18"/>
      <c r="M15" s="18"/>
      <c r="N15" s="18"/>
      <c r="O15" s="18"/>
      <c r="P15" s="9"/>
      <c r="Q15" s="10"/>
    </row>
    <row r="16" spans="2:17" x14ac:dyDescent="0.25">
      <c r="B16" s="161" t="s">
        <v>9</v>
      </c>
      <c r="C16" s="162"/>
      <c r="D16" s="163"/>
      <c r="I16" s="8" t="s">
        <v>143</v>
      </c>
      <c r="J16" s="9"/>
      <c r="K16" s="18"/>
      <c r="L16" s="18"/>
      <c r="M16" s="18"/>
      <c r="N16" s="18"/>
      <c r="O16" s="18"/>
      <c r="P16" s="9"/>
      <c r="Q16" s="10"/>
    </row>
    <row r="17" spans="2:19" x14ac:dyDescent="0.25">
      <c r="B17" s="125" t="s">
        <v>33</v>
      </c>
      <c r="C17" s="170" t="s">
        <v>59</v>
      </c>
      <c r="D17" s="171"/>
      <c r="I17" s="29" t="s">
        <v>141</v>
      </c>
      <c r="J17" s="9"/>
      <c r="K17" s="18"/>
      <c r="L17" s="18"/>
      <c r="M17" s="18"/>
      <c r="N17" s="18"/>
      <c r="O17" s="18"/>
      <c r="P17" s="9"/>
      <c r="Q17" s="10"/>
    </row>
    <row r="18" spans="2:19" x14ac:dyDescent="0.25">
      <c r="B18" s="5" t="s">
        <v>34</v>
      </c>
      <c r="C18" s="156" t="s">
        <v>60</v>
      </c>
      <c r="D18" s="157"/>
      <c r="F18" s="24" t="s">
        <v>106</v>
      </c>
      <c r="I18" s="29" t="s">
        <v>142</v>
      </c>
      <c r="J18" s="9"/>
      <c r="K18" s="18"/>
      <c r="L18" s="18"/>
      <c r="M18" s="18"/>
      <c r="N18" s="18"/>
      <c r="O18" s="18"/>
      <c r="P18" s="9"/>
      <c r="Q18" s="10"/>
    </row>
    <row r="19" spans="2:19" x14ac:dyDescent="0.25">
      <c r="B19" s="5" t="s">
        <v>35</v>
      </c>
      <c r="C19" s="156" t="s">
        <v>61</v>
      </c>
      <c r="D19" s="157"/>
      <c r="F19" t="s">
        <v>107</v>
      </c>
      <c r="I19" s="29" t="s">
        <v>144</v>
      </c>
      <c r="J19" s="9"/>
      <c r="K19" s="18"/>
      <c r="L19" s="18"/>
      <c r="M19" s="18"/>
      <c r="N19" s="18"/>
      <c r="O19" s="18"/>
      <c r="P19" s="9"/>
      <c r="Q19" s="10"/>
    </row>
    <row r="20" spans="2:19" x14ac:dyDescent="0.25">
      <c r="B20" s="5"/>
      <c r="C20" s="168"/>
      <c r="D20" s="169"/>
      <c r="F20" t="s">
        <v>108</v>
      </c>
      <c r="I20" s="79" t="s">
        <v>145</v>
      </c>
      <c r="J20" s="9"/>
      <c r="K20" s="18"/>
      <c r="L20" s="18"/>
      <c r="M20" s="18"/>
      <c r="N20" s="18"/>
      <c r="O20" s="18"/>
      <c r="P20" s="9"/>
      <c r="Q20" s="10"/>
    </row>
    <row r="21" spans="2:19" x14ac:dyDescent="0.25">
      <c r="B21" s="26" t="s">
        <v>36</v>
      </c>
      <c r="C21" s="166" t="s">
        <v>62</v>
      </c>
      <c r="D21" s="167"/>
      <c r="I21" s="13"/>
      <c r="J21" s="9"/>
      <c r="K21" s="18"/>
      <c r="L21" s="18"/>
      <c r="M21" s="18"/>
      <c r="N21" s="18"/>
      <c r="O21" s="18"/>
      <c r="P21" s="9"/>
      <c r="Q21" s="10"/>
      <c r="S21" s="121" t="s">
        <v>190</v>
      </c>
    </row>
    <row r="22" spans="2:19" x14ac:dyDescent="0.25">
      <c r="I22" s="8" t="s">
        <v>139</v>
      </c>
      <c r="J22" s="9"/>
      <c r="K22" s="18"/>
      <c r="L22" s="18"/>
      <c r="M22" s="18"/>
      <c r="N22" s="18"/>
      <c r="O22" s="18"/>
      <c r="P22" s="9"/>
      <c r="Q22" s="10"/>
      <c r="S22" s="121" t="s">
        <v>191</v>
      </c>
    </row>
    <row r="23" spans="2:19" x14ac:dyDescent="0.25">
      <c r="I23" s="29" t="s">
        <v>140</v>
      </c>
      <c r="J23" s="9"/>
      <c r="K23" s="18"/>
      <c r="L23" s="18"/>
      <c r="M23" s="18"/>
      <c r="N23" s="18"/>
      <c r="O23" s="18"/>
      <c r="P23" s="9"/>
      <c r="Q23" s="10"/>
    </row>
    <row r="24" spans="2:19" x14ac:dyDescent="0.25">
      <c r="B24" s="161" t="s">
        <v>151</v>
      </c>
      <c r="C24" s="162"/>
      <c r="D24" s="163"/>
      <c r="I24" s="13"/>
      <c r="J24" s="9"/>
      <c r="K24" s="18"/>
      <c r="L24" s="18"/>
      <c r="M24" s="18"/>
      <c r="N24" s="18"/>
      <c r="O24" s="18"/>
      <c r="P24" s="9"/>
      <c r="Q24" s="10"/>
    </row>
    <row r="25" spans="2:19" x14ac:dyDescent="0.25">
      <c r="B25" s="95" t="s">
        <v>154</v>
      </c>
      <c r="C25" s="156" t="s">
        <v>156</v>
      </c>
      <c r="D25" s="157"/>
      <c r="I25" s="8" t="s">
        <v>138</v>
      </c>
      <c r="J25" s="9"/>
      <c r="K25" s="18"/>
      <c r="L25" s="18"/>
      <c r="M25" s="18"/>
      <c r="N25" s="18"/>
      <c r="O25" s="18"/>
      <c r="P25" s="9"/>
      <c r="Q25" s="10"/>
    </row>
    <row r="26" spans="2:19" x14ac:dyDescent="0.25">
      <c r="B26" s="95" t="s">
        <v>155</v>
      </c>
      <c r="C26" s="156">
        <v>1997</v>
      </c>
      <c r="D26" s="157"/>
      <c r="I26" s="28" t="s">
        <v>137</v>
      </c>
      <c r="J26" s="9"/>
      <c r="K26" s="18"/>
      <c r="L26" s="18"/>
      <c r="M26" s="18"/>
      <c r="N26" s="18"/>
      <c r="O26" s="18"/>
      <c r="P26" s="9"/>
      <c r="Q26" s="10"/>
    </row>
    <row r="27" spans="2:19" x14ac:dyDescent="0.25">
      <c r="B27" s="95" t="s">
        <v>202</v>
      </c>
      <c r="C27" s="156"/>
      <c r="D27" s="157"/>
      <c r="I27" s="13"/>
      <c r="J27" s="9"/>
      <c r="K27" s="18"/>
      <c r="L27" s="18"/>
      <c r="M27" s="18"/>
      <c r="N27" s="18"/>
      <c r="O27" s="18"/>
      <c r="P27" s="9"/>
      <c r="Q27" s="10"/>
    </row>
    <row r="28" spans="2:19" x14ac:dyDescent="0.25">
      <c r="B28" s="95"/>
      <c r="C28" s="85"/>
      <c r="D28" s="86"/>
      <c r="I28" s="8" t="s">
        <v>127</v>
      </c>
      <c r="J28" s="9"/>
      <c r="K28" s="18"/>
      <c r="L28" s="18"/>
      <c r="M28" s="18"/>
      <c r="N28" s="18"/>
      <c r="O28" s="18"/>
      <c r="P28" s="9"/>
      <c r="Q28" s="10"/>
    </row>
    <row r="29" spans="2:19" x14ac:dyDescent="0.25">
      <c r="B29" s="95" t="s">
        <v>201</v>
      </c>
      <c r="C29" s="85" t="s">
        <v>49</v>
      </c>
      <c r="D29" s="127">
        <v>41730</v>
      </c>
      <c r="I29" s="34" t="s">
        <v>128</v>
      </c>
      <c r="J29" s="9"/>
      <c r="K29" s="18"/>
      <c r="L29" s="18"/>
      <c r="M29" s="18"/>
      <c r="N29" s="18"/>
      <c r="O29" s="18"/>
      <c r="P29" s="9"/>
      <c r="Q29" s="10"/>
    </row>
    <row r="30" spans="2:19" x14ac:dyDescent="0.25">
      <c r="B30" s="96" t="s">
        <v>152</v>
      </c>
      <c r="C30" s="172" t="s">
        <v>153</v>
      </c>
      <c r="D30" s="173"/>
      <c r="I30" s="28" t="s">
        <v>130</v>
      </c>
      <c r="J30" s="9"/>
      <c r="K30" s="18"/>
      <c r="L30" s="18"/>
      <c r="M30" s="18"/>
      <c r="N30" s="18"/>
      <c r="O30" s="18"/>
      <c r="P30" s="9"/>
      <c r="Q30" s="10"/>
    </row>
    <row r="31" spans="2:19" x14ac:dyDescent="0.25">
      <c r="I31" s="28" t="s">
        <v>131</v>
      </c>
      <c r="J31" s="9"/>
      <c r="K31" s="18"/>
      <c r="L31" s="18"/>
      <c r="M31" s="18"/>
      <c r="N31" s="18"/>
      <c r="O31" s="18"/>
      <c r="P31" s="9"/>
      <c r="Q31" s="10"/>
    </row>
    <row r="32" spans="2:19" x14ac:dyDescent="0.25">
      <c r="I32" s="13"/>
      <c r="J32" s="9"/>
      <c r="K32" s="18"/>
      <c r="L32" s="18"/>
      <c r="M32" s="18"/>
      <c r="N32" s="18"/>
      <c r="O32" s="18"/>
      <c r="P32" s="9"/>
      <c r="Q32" s="10"/>
    </row>
    <row r="33" spans="2:17" x14ac:dyDescent="0.25">
      <c r="B33" s="161" t="s">
        <v>186</v>
      </c>
      <c r="C33" s="162"/>
      <c r="D33" s="163"/>
      <c r="I33" s="8" t="s">
        <v>10</v>
      </c>
      <c r="J33" s="9"/>
      <c r="K33" s="18"/>
      <c r="L33" s="18"/>
      <c r="M33" s="18"/>
      <c r="N33" s="18"/>
      <c r="O33" s="18"/>
      <c r="P33" s="9"/>
      <c r="Q33" s="10"/>
    </row>
    <row r="34" spans="2:17" x14ac:dyDescent="0.25">
      <c r="B34" s="95" t="s">
        <v>185</v>
      </c>
      <c r="C34" s="154">
        <f>C6/('Financial Model'!K79*Main!D13)</f>
        <v>1.1094139766183915</v>
      </c>
      <c r="D34" s="155"/>
      <c r="I34" s="11" t="s">
        <v>11</v>
      </c>
      <c r="J34" s="9"/>
      <c r="K34" s="18"/>
      <c r="L34" s="18"/>
      <c r="M34" s="18"/>
      <c r="N34" s="18"/>
      <c r="O34" s="18"/>
      <c r="P34" s="9"/>
      <c r="Q34" s="10"/>
    </row>
    <row r="35" spans="2:17" x14ac:dyDescent="0.25">
      <c r="B35" s="95" t="s">
        <v>187</v>
      </c>
      <c r="C35" s="154">
        <f>C6/('Financial Model'!S18*D13)</f>
        <v>4.5938997847671166</v>
      </c>
      <c r="D35" s="155"/>
      <c r="I35" s="12" t="s">
        <v>12</v>
      </c>
      <c r="J35" s="9"/>
      <c r="K35" s="18"/>
      <c r="L35" s="18"/>
      <c r="M35" s="18"/>
      <c r="N35" s="18"/>
      <c r="O35" s="18"/>
      <c r="P35" s="9"/>
      <c r="Q35" s="10"/>
    </row>
    <row r="36" spans="2:17" x14ac:dyDescent="0.25">
      <c r="B36" s="95"/>
      <c r="C36" s="122"/>
      <c r="D36" s="123"/>
      <c r="I36" s="13"/>
      <c r="J36" s="9"/>
      <c r="K36" s="18"/>
      <c r="L36" s="18"/>
      <c r="M36" s="18"/>
      <c r="N36" s="18"/>
      <c r="O36" s="18"/>
      <c r="P36" s="9"/>
      <c r="Q36" s="10"/>
    </row>
    <row r="37" spans="2:17" x14ac:dyDescent="0.25">
      <c r="B37" s="95" t="s">
        <v>185</v>
      </c>
      <c r="C37" s="154">
        <f>C6/'Financial Model'!T80</f>
        <v>2.4225766686331753</v>
      </c>
      <c r="D37" s="155"/>
      <c r="I37" s="8" t="s">
        <v>13</v>
      </c>
      <c r="J37" s="9"/>
      <c r="K37" s="18"/>
      <c r="L37" s="18"/>
      <c r="M37" s="18"/>
      <c r="N37" s="18"/>
      <c r="O37" s="18"/>
      <c r="P37" s="9"/>
      <c r="Q37" s="10"/>
    </row>
    <row r="38" spans="2:17" x14ac:dyDescent="0.25">
      <c r="B38" s="95" t="s">
        <v>195</v>
      </c>
      <c r="C38" s="154"/>
      <c r="D38" s="155"/>
      <c r="I38" s="34" t="s">
        <v>63</v>
      </c>
      <c r="J38" s="9"/>
      <c r="K38" s="18"/>
      <c r="L38" s="18"/>
      <c r="M38" s="18"/>
      <c r="N38" s="18"/>
      <c r="O38" s="18"/>
      <c r="P38" s="9"/>
      <c r="Q38" s="10"/>
    </row>
    <row r="39" spans="2:17" x14ac:dyDescent="0.25">
      <c r="B39" s="95" t="s">
        <v>196</v>
      </c>
      <c r="C39" s="154"/>
      <c r="D39" s="155"/>
      <c r="I39" s="28" t="s">
        <v>64</v>
      </c>
      <c r="J39" s="9"/>
      <c r="K39" s="18"/>
      <c r="L39" s="18"/>
      <c r="M39" s="18"/>
      <c r="N39" s="18"/>
      <c r="O39" s="18"/>
      <c r="P39" s="9"/>
      <c r="Q39" s="10"/>
    </row>
    <row r="40" spans="2:17" x14ac:dyDescent="0.25">
      <c r="B40" s="95" t="s">
        <v>187</v>
      </c>
      <c r="C40" s="154"/>
      <c r="D40" s="155"/>
      <c r="I40" s="12"/>
      <c r="J40" s="9"/>
      <c r="K40" s="18"/>
      <c r="L40" s="18"/>
      <c r="M40" s="18"/>
      <c r="N40" s="18"/>
      <c r="O40" s="18"/>
      <c r="P40" s="9"/>
      <c r="Q40" s="10"/>
    </row>
    <row r="41" spans="2:17" x14ac:dyDescent="0.25">
      <c r="B41" s="95" t="s">
        <v>197</v>
      </c>
      <c r="C41" s="154"/>
      <c r="D41" s="155"/>
      <c r="I41" s="8" t="s">
        <v>14</v>
      </c>
      <c r="J41" s="9"/>
      <c r="K41" s="18"/>
      <c r="L41" s="18"/>
      <c r="M41" s="18"/>
      <c r="N41" s="18"/>
      <c r="O41" s="18"/>
      <c r="P41" s="9"/>
      <c r="Q41" s="10"/>
    </row>
    <row r="42" spans="2:17" x14ac:dyDescent="0.25">
      <c r="B42" s="95" t="s">
        <v>198</v>
      </c>
      <c r="C42" s="154"/>
      <c r="D42" s="155"/>
      <c r="I42" s="14" t="s">
        <v>15</v>
      </c>
      <c r="J42" s="9"/>
      <c r="K42" s="18"/>
      <c r="L42" s="18"/>
      <c r="M42" s="18"/>
      <c r="N42" s="18"/>
      <c r="O42" s="18"/>
      <c r="P42" s="9"/>
      <c r="Q42" s="10"/>
    </row>
    <row r="43" spans="2:17" x14ac:dyDescent="0.25">
      <c r="I43" s="12" t="s">
        <v>16</v>
      </c>
      <c r="J43" s="9"/>
      <c r="K43" s="18"/>
      <c r="L43" s="18"/>
      <c r="M43" s="18"/>
      <c r="N43" s="18"/>
      <c r="O43" s="18"/>
      <c r="P43" s="9"/>
      <c r="Q43" s="10"/>
    </row>
    <row r="44" spans="2:17" x14ac:dyDescent="0.25">
      <c r="I44" s="12" t="s">
        <v>17</v>
      </c>
      <c r="J44" s="9"/>
      <c r="K44" s="18"/>
      <c r="L44" s="18"/>
      <c r="M44" s="18"/>
      <c r="N44" s="18"/>
      <c r="O44" s="18"/>
      <c r="P44" s="9"/>
      <c r="Q44" s="10"/>
    </row>
    <row r="45" spans="2:17" x14ac:dyDescent="0.25">
      <c r="I45" s="12"/>
      <c r="J45" s="9"/>
      <c r="K45" s="18"/>
      <c r="L45" s="18"/>
      <c r="M45" s="18"/>
      <c r="N45" s="18"/>
      <c r="O45" s="18"/>
      <c r="P45" s="9"/>
      <c r="Q45" s="10"/>
    </row>
    <row r="46" spans="2:17" x14ac:dyDescent="0.25">
      <c r="I46" s="8" t="s">
        <v>18</v>
      </c>
      <c r="J46" s="9"/>
      <c r="K46" s="18"/>
      <c r="L46" s="18"/>
      <c r="M46" s="18"/>
      <c r="N46" s="18"/>
      <c r="O46" s="18"/>
      <c r="P46" s="9"/>
      <c r="Q46" s="10"/>
    </row>
    <row r="47" spans="2:17" x14ac:dyDescent="0.25">
      <c r="I47" s="15" t="s">
        <v>19</v>
      </c>
      <c r="J47" s="9"/>
      <c r="K47" s="18"/>
      <c r="L47" s="18"/>
      <c r="M47" s="18"/>
      <c r="N47" s="18"/>
      <c r="O47" s="18"/>
      <c r="P47" s="9"/>
      <c r="Q47" s="10"/>
    </row>
    <row r="48" spans="2:17" x14ac:dyDescent="0.25">
      <c r="I48" s="12" t="s">
        <v>20</v>
      </c>
      <c r="J48" s="9"/>
      <c r="K48" s="18"/>
      <c r="L48" s="18"/>
      <c r="M48" s="18"/>
      <c r="N48" s="18"/>
      <c r="O48" s="18"/>
      <c r="P48" s="9"/>
      <c r="Q48" s="10"/>
    </row>
    <row r="49" spans="9:17" x14ac:dyDescent="0.25">
      <c r="I49" s="14" t="s">
        <v>21</v>
      </c>
      <c r="J49" s="9"/>
      <c r="K49" s="18"/>
      <c r="L49" s="18"/>
      <c r="M49" s="18"/>
      <c r="N49" s="18"/>
      <c r="O49" s="18"/>
      <c r="P49" s="9"/>
      <c r="Q49" s="10"/>
    </row>
    <row r="50" spans="9:17" x14ac:dyDescent="0.25">
      <c r="I50" s="13"/>
      <c r="J50" s="9"/>
      <c r="K50" s="18"/>
      <c r="L50" s="18"/>
      <c r="M50" s="18"/>
      <c r="N50" s="18"/>
      <c r="O50" s="18"/>
      <c r="P50" s="9"/>
      <c r="Q50" s="10"/>
    </row>
    <row r="51" spans="9:17" x14ac:dyDescent="0.25">
      <c r="I51" s="16" t="s">
        <v>22</v>
      </c>
      <c r="J51" s="9"/>
      <c r="K51" s="18"/>
      <c r="L51" s="18"/>
      <c r="M51" s="18"/>
      <c r="N51" s="18"/>
      <c r="O51" s="18"/>
      <c r="P51" s="9"/>
      <c r="Q51" s="10"/>
    </row>
    <row r="52" spans="9:17" x14ac:dyDescent="0.25">
      <c r="I52" s="17" t="s">
        <v>23</v>
      </c>
      <c r="J52" s="18"/>
      <c r="K52" s="18"/>
      <c r="L52" s="18"/>
      <c r="M52" s="18"/>
      <c r="N52" s="18"/>
      <c r="O52" s="18"/>
      <c r="P52" s="9"/>
      <c r="Q52" s="10"/>
    </row>
    <row r="53" spans="9:17" x14ac:dyDescent="0.25">
      <c r="I53" s="17" t="s">
        <v>24</v>
      </c>
      <c r="J53" s="18"/>
      <c r="K53" s="18"/>
      <c r="L53" s="18"/>
      <c r="M53" s="18"/>
      <c r="N53" s="18"/>
      <c r="O53" s="18"/>
      <c r="P53" s="9"/>
      <c r="Q53" s="10"/>
    </row>
    <row r="54" spans="9:17" x14ac:dyDescent="0.25">
      <c r="I54" s="19" t="s">
        <v>25</v>
      </c>
      <c r="J54" s="18"/>
      <c r="K54" s="18"/>
      <c r="L54" s="18"/>
      <c r="M54" s="18"/>
      <c r="N54" s="18"/>
      <c r="O54" s="18"/>
      <c r="P54" s="9"/>
      <c r="Q54" s="10"/>
    </row>
    <row r="55" spans="9:17" x14ac:dyDescent="0.25">
      <c r="I55" s="17" t="s">
        <v>26</v>
      </c>
      <c r="J55" s="18"/>
      <c r="K55" s="18"/>
      <c r="L55" s="18"/>
      <c r="M55" s="18"/>
      <c r="N55" s="18"/>
      <c r="O55" s="18"/>
      <c r="P55" s="9"/>
      <c r="Q55" s="10"/>
    </row>
    <row r="56" spans="9:17" x14ac:dyDescent="0.25">
      <c r="I56" s="19"/>
      <c r="J56" s="18"/>
      <c r="K56" s="18"/>
      <c r="L56" s="18"/>
      <c r="M56" s="18"/>
      <c r="N56" s="18"/>
      <c r="O56" s="18"/>
      <c r="P56" s="9"/>
      <c r="Q56" s="10"/>
    </row>
    <row r="57" spans="9:17" x14ac:dyDescent="0.25">
      <c r="I57" s="20" t="s">
        <v>27</v>
      </c>
      <c r="J57" s="18"/>
      <c r="K57" s="18"/>
      <c r="L57" s="18"/>
      <c r="M57" s="18"/>
      <c r="N57" s="18"/>
      <c r="O57" s="18"/>
      <c r="P57" s="9"/>
      <c r="Q57" s="10"/>
    </row>
    <row r="58" spans="9:17" x14ac:dyDescent="0.25">
      <c r="I58" s="27" t="s">
        <v>38</v>
      </c>
      <c r="J58" s="18"/>
      <c r="K58" s="18"/>
      <c r="L58" s="18"/>
      <c r="M58" s="18"/>
      <c r="N58" s="18"/>
      <c r="O58" s="18"/>
      <c r="P58" s="9"/>
      <c r="Q58" s="10"/>
    </row>
    <row r="59" spans="9:17" x14ac:dyDescent="0.25">
      <c r="I59" s="29" t="s">
        <v>39</v>
      </c>
      <c r="J59" s="18"/>
      <c r="K59" s="18"/>
      <c r="L59" s="18"/>
      <c r="M59" s="18"/>
      <c r="N59" s="18"/>
      <c r="O59" s="18"/>
      <c r="P59" s="9"/>
      <c r="Q59" s="10"/>
    </row>
    <row r="60" spans="9:17" x14ac:dyDescent="0.25">
      <c r="I60" s="17"/>
      <c r="J60" s="18"/>
      <c r="K60" s="18"/>
      <c r="L60" s="18"/>
      <c r="M60" s="18"/>
      <c r="N60" s="18"/>
      <c r="O60" s="18"/>
      <c r="P60" s="9"/>
      <c r="Q60" s="10"/>
    </row>
    <row r="61" spans="9:17" x14ac:dyDescent="0.25">
      <c r="I61" s="20" t="s">
        <v>28</v>
      </c>
      <c r="J61" s="18"/>
      <c r="K61" s="18"/>
      <c r="L61" s="18"/>
      <c r="M61" s="18"/>
      <c r="N61" s="18"/>
      <c r="O61" s="18"/>
      <c r="P61" s="9"/>
      <c r="Q61" s="10"/>
    </row>
    <row r="62" spans="9:17" x14ac:dyDescent="0.25">
      <c r="I62" s="27" t="s">
        <v>37</v>
      </c>
      <c r="J62" s="18"/>
      <c r="K62" s="18"/>
      <c r="L62" s="18"/>
      <c r="M62" s="18"/>
      <c r="N62" s="18"/>
      <c r="O62" s="18"/>
      <c r="P62" s="9"/>
      <c r="Q62" s="10"/>
    </row>
    <row r="63" spans="9:17" x14ac:dyDescent="0.25">
      <c r="I63" s="17"/>
      <c r="J63" s="9"/>
      <c r="K63" s="18"/>
      <c r="L63" s="18"/>
      <c r="M63" s="18"/>
      <c r="N63" s="18"/>
      <c r="O63" s="18"/>
      <c r="P63" s="9"/>
      <c r="Q63" s="10"/>
    </row>
    <row r="64" spans="9:17" x14ac:dyDescent="0.25">
      <c r="I64" s="20" t="s">
        <v>29</v>
      </c>
      <c r="J64" s="9"/>
      <c r="K64" s="18"/>
      <c r="L64" s="18"/>
      <c r="M64" s="18"/>
      <c r="N64" s="18"/>
      <c r="O64" s="18"/>
      <c r="P64" s="9"/>
      <c r="Q64" s="10"/>
    </row>
    <row r="65" spans="9:17" x14ac:dyDescent="0.25">
      <c r="I65" s="17" t="s">
        <v>30</v>
      </c>
      <c r="J65" s="9"/>
      <c r="K65" s="18"/>
      <c r="L65" s="18"/>
      <c r="M65" s="18"/>
      <c r="N65" s="18"/>
      <c r="O65" s="18"/>
      <c r="P65" s="9"/>
      <c r="Q65" s="10"/>
    </row>
    <row r="66" spans="9:17" x14ac:dyDescent="0.25">
      <c r="I66" s="17"/>
      <c r="J66" s="9"/>
      <c r="K66" s="18"/>
      <c r="L66" s="18"/>
      <c r="M66" s="18"/>
      <c r="N66" s="18"/>
      <c r="O66" s="18"/>
      <c r="P66" s="9"/>
      <c r="Q66" s="10"/>
    </row>
    <row r="67" spans="9:17" x14ac:dyDescent="0.25">
      <c r="I67" s="20" t="s">
        <v>31</v>
      </c>
      <c r="J67" s="9"/>
      <c r="K67" s="18"/>
      <c r="L67" s="18"/>
      <c r="M67" s="18"/>
      <c r="N67" s="18"/>
      <c r="O67" s="18"/>
      <c r="P67" s="9"/>
      <c r="Q67" s="10"/>
    </row>
    <row r="68" spans="9:17" x14ac:dyDescent="0.25">
      <c r="I68" s="21" t="s">
        <v>32</v>
      </c>
      <c r="J68" s="22"/>
      <c r="K68" s="25"/>
      <c r="L68" s="25"/>
      <c r="M68" s="25"/>
      <c r="N68" s="25"/>
      <c r="O68" s="25"/>
      <c r="P68" s="22"/>
      <c r="Q68" s="23"/>
    </row>
  </sheetData>
  <mergeCells count="23">
    <mergeCell ref="I5:Q5"/>
    <mergeCell ref="B5:D5"/>
    <mergeCell ref="B16:D16"/>
    <mergeCell ref="B13:C13"/>
    <mergeCell ref="C35:D35"/>
    <mergeCell ref="C21:D21"/>
    <mergeCell ref="C20:D20"/>
    <mergeCell ref="C19:D19"/>
    <mergeCell ref="C18:D18"/>
    <mergeCell ref="C17:D17"/>
    <mergeCell ref="B33:D33"/>
    <mergeCell ref="C34:D34"/>
    <mergeCell ref="B24:D24"/>
    <mergeCell ref="C25:D25"/>
    <mergeCell ref="C30:D30"/>
    <mergeCell ref="C26:D26"/>
    <mergeCell ref="C42:D42"/>
    <mergeCell ref="C27:D27"/>
    <mergeCell ref="C37:D37"/>
    <mergeCell ref="C38:D38"/>
    <mergeCell ref="C39:D39"/>
    <mergeCell ref="C40:D40"/>
    <mergeCell ref="C41:D41"/>
  </mergeCells>
  <hyperlinks>
    <hyperlink ref="I16" r:id="rId1" display="UK Government 2022 Legislation" xr:uid="{C1D3F6CD-A120-4B44-833C-73430C0A8313}"/>
    <hyperlink ref="I13" r:id="rId2" xr:uid="{C680B2B4-B716-DE4A-8BF1-0F084F783051}"/>
    <hyperlink ref="C30:D30" r:id="rId3" location="results-reports-presentations" display="Link" xr:uid="{F059621B-F373-4C60-B0C8-A80A3B8384D6}"/>
    <hyperlink ref="I10" r:id="rId4" xr:uid="{0E5B6056-A23B-4531-AD44-5A14FE0C9AFF}"/>
    <hyperlink ref="I7" r:id="rId5" display="888 shares fall 30% as CEO quits following suspension of Middle East VIP service" xr:uid="{C60967F6-59D8-4026-8FC5-7B67BB9C7214}"/>
  </hyperlinks>
  <pageMargins left="0.7" right="0.7" top="0.75" bottom="0.75" header="0.3" footer="0.3"/>
  <pageSetup paperSize="256" orientation="portrait" horizontalDpi="203" verticalDpi="203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63C3-2D1D-47D3-AA96-4A12957418DF}">
  <dimension ref="A1:CG90"/>
  <sheetViews>
    <sheetView zoomScaleNormal="100" workbookViewId="0">
      <pane xSplit="2" ySplit="2" topLeftCell="C64" activePane="bottomRight" state="frozen"/>
      <selection pane="topRight" activeCell="C1" sqref="C1"/>
      <selection pane="bottomLeft" activeCell="A3" sqref="A3"/>
      <selection pane="bottomRight" activeCell="Q89" sqref="Q89"/>
    </sheetView>
  </sheetViews>
  <sheetFormatPr defaultColWidth="8.85546875" defaultRowHeight="15" x14ac:dyDescent="0.25"/>
  <cols>
    <col min="1" max="1" width="3.140625" customWidth="1"/>
    <col min="2" max="2" width="30.28515625" bestFit="1" customWidth="1"/>
    <col min="3" max="5" width="9.7109375" customWidth="1"/>
    <col min="6" max="6" width="9.140625" customWidth="1"/>
    <col min="7" max="12" width="9.28515625" bestFit="1" customWidth="1"/>
    <col min="16" max="19" width="9.28515625" bestFit="1" customWidth="1"/>
    <col min="20" max="20" width="9.28515625" customWidth="1"/>
    <col min="21" max="21" width="8.85546875" style="91"/>
    <col min="36" max="36" width="18.28515625" bestFit="1" customWidth="1"/>
  </cols>
  <sheetData>
    <row r="1" spans="2:33" x14ac:dyDescent="0.25">
      <c r="B1" s="35" t="s">
        <v>75</v>
      </c>
      <c r="C1" s="30" t="s">
        <v>113</v>
      </c>
      <c r="D1" s="33" t="s">
        <v>112</v>
      </c>
      <c r="E1" s="30" t="s">
        <v>40</v>
      </c>
      <c r="F1" s="33" t="s">
        <v>41</v>
      </c>
      <c r="G1" s="30" t="s">
        <v>42</v>
      </c>
      <c r="H1" s="33" t="s">
        <v>43</v>
      </c>
      <c r="I1" s="30" t="s">
        <v>44</v>
      </c>
      <c r="J1" s="33" t="s">
        <v>45</v>
      </c>
      <c r="K1" s="30" t="s">
        <v>136</v>
      </c>
      <c r="L1" s="33" t="s">
        <v>147</v>
      </c>
      <c r="P1" s="30" t="s">
        <v>109</v>
      </c>
      <c r="Q1" s="30" t="s">
        <v>46</v>
      </c>
      <c r="R1" s="30" t="s">
        <v>47</v>
      </c>
      <c r="S1" s="30" t="s">
        <v>48</v>
      </c>
      <c r="T1" s="129" t="s">
        <v>49</v>
      </c>
      <c r="U1" s="87" t="s">
        <v>50</v>
      </c>
      <c r="V1" s="30" t="s">
        <v>51</v>
      </c>
      <c r="W1" s="30" t="s">
        <v>52</v>
      </c>
      <c r="X1" s="30" t="s">
        <v>53</v>
      </c>
      <c r="Y1" s="30" t="s">
        <v>54</v>
      </c>
      <c r="Z1" s="30" t="s">
        <v>55</v>
      </c>
      <c r="AA1" s="30" t="s">
        <v>56</v>
      </c>
      <c r="AB1" s="30" t="s">
        <v>57</v>
      </c>
      <c r="AC1" s="30" t="s">
        <v>115</v>
      </c>
      <c r="AD1" s="30" t="s">
        <v>116</v>
      </c>
      <c r="AE1" s="30" t="s">
        <v>117</v>
      </c>
      <c r="AF1" s="30" t="s">
        <v>118</v>
      </c>
      <c r="AG1" s="30" t="s">
        <v>119</v>
      </c>
    </row>
    <row r="2" spans="2:33" x14ac:dyDescent="0.25">
      <c r="C2" s="47">
        <v>43281</v>
      </c>
      <c r="D2" s="50">
        <v>43465</v>
      </c>
      <c r="E2" s="47">
        <v>43646</v>
      </c>
      <c r="F2" s="50">
        <v>43830</v>
      </c>
      <c r="G2" s="47">
        <v>44012</v>
      </c>
      <c r="H2" s="50">
        <v>44196</v>
      </c>
      <c r="I2" s="47">
        <v>44377</v>
      </c>
      <c r="J2" s="50">
        <v>44561</v>
      </c>
      <c r="K2" s="110">
        <v>44742</v>
      </c>
      <c r="L2" s="80">
        <f>T2</f>
        <v>44926</v>
      </c>
      <c r="M2" s="55"/>
      <c r="N2" s="55"/>
      <c r="O2" s="55"/>
      <c r="P2" s="47">
        <v>43465</v>
      </c>
      <c r="Q2" s="37">
        <v>43830</v>
      </c>
      <c r="R2" s="37">
        <v>44196</v>
      </c>
      <c r="S2" s="37">
        <v>44561</v>
      </c>
      <c r="T2" s="37">
        <v>44926</v>
      </c>
      <c r="U2" s="88" t="s">
        <v>114</v>
      </c>
      <c r="V2" s="54" t="s">
        <v>114</v>
      </c>
      <c r="W2" s="54" t="s">
        <v>114</v>
      </c>
      <c r="X2" s="54" t="s">
        <v>114</v>
      </c>
      <c r="Y2" s="54" t="s">
        <v>114</v>
      </c>
      <c r="Z2" s="54" t="s">
        <v>114</v>
      </c>
      <c r="AA2" s="54" t="s">
        <v>114</v>
      </c>
      <c r="AB2" s="54" t="s">
        <v>114</v>
      </c>
      <c r="AC2" s="54" t="s">
        <v>114</v>
      </c>
      <c r="AD2" s="54" t="s">
        <v>114</v>
      </c>
      <c r="AE2" s="54" t="s">
        <v>114</v>
      </c>
      <c r="AF2" s="54" t="s">
        <v>114</v>
      </c>
      <c r="AG2" s="54" t="s">
        <v>114</v>
      </c>
    </row>
    <row r="3" spans="2:33" x14ac:dyDescent="0.25">
      <c r="B3" s="24" t="s">
        <v>58</v>
      </c>
      <c r="C3" s="43">
        <v>283.89999999999998</v>
      </c>
      <c r="D3" s="32">
        <f>P3-C3</f>
        <v>256.70000000000005</v>
      </c>
      <c r="E3" s="43">
        <v>277.3</v>
      </c>
      <c r="F3" s="32">
        <f>Q3-E3</f>
        <v>282.99999999999994</v>
      </c>
      <c r="G3" s="43">
        <v>379.1</v>
      </c>
      <c r="H3" s="32">
        <f>R3-G3</f>
        <v>470.6</v>
      </c>
      <c r="I3" s="43">
        <v>528.4</v>
      </c>
      <c r="J3" s="32">
        <f>S3-I3</f>
        <v>451.70000000000005</v>
      </c>
      <c r="K3" s="24">
        <v>332.1</v>
      </c>
      <c r="L3" s="82">
        <f>T3-K3</f>
        <v>906.69999999999993</v>
      </c>
      <c r="P3" s="43">
        <f>529.9+10.7</f>
        <v>540.6</v>
      </c>
      <c r="Q3" s="24">
        <v>560.29999999999995</v>
      </c>
      <c r="R3" s="24">
        <v>849.7</v>
      </c>
      <c r="S3" s="24">
        <v>980.1</v>
      </c>
      <c r="T3" s="58">
        <v>1238.8</v>
      </c>
      <c r="U3" s="89">
        <f>T3*1.15</f>
        <v>1424.62</v>
      </c>
      <c r="V3" s="58">
        <f t="shared" ref="V3" si="0">U3*1.12</f>
        <v>1595.5744</v>
      </c>
      <c r="W3" s="58">
        <f>V3*1.05</f>
        <v>1675.35312</v>
      </c>
      <c r="X3" s="58">
        <f t="shared" ref="X3:AG3" si="1">W3*1.05</f>
        <v>1759.120776</v>
      </c>
      <c r="Y3" s="58">
        <f t="shared" si="1"/>
        <v>1847.0768148</v>
      </c>
      <c r="Z3" s="58">
        <f t="shared" si="1"/>
        <v>1939.4306555400001</v>
      </c>
      <c r="AA3" s="58">
        <f t="shared" si="1"/>
        <v>2036.4021883170001</v>
      </c>
      <c r="AB3" s="58">
        <f t="shared" si="1"/>
        <v>2138.2222977328502</v>
      </c>
      <c r="AC3" s="58">
        <f t="shared" si="1"/>
        <v>2245.1334126194929</v>
      </c>
      <c r="AD3" s="58">
        <f t="shared" si="1"/>
        <v>2357.3900832504678</v>
      </c>
      <c r="AE3" s="58">
        <f t="shared" si="1"/>
        <v>2475.2595874129911</v>
      </c>
      <c r="AF3" s="58">
        <f t="shared" si="1"/>
        <v>2599.0225667836407</v>
      </c>
      <c r="AG3" s="58">
        <f t="shared" si="1"/>
        <v>2728.9736951228228</v>
      </c>
    </row>
    <row r="4" spans="2:33" x14ac:dyDescent="0.25">
      <c r="B4" t="s">
        <v>71</v>
      </c>
      <c r="C4" s="44">
        <v>37.799999999999997</v>
      </c>
      <c r="D4" s="31">
        <f>P4-C4</f>
        <v>32.100000000000009</v>
      </c>
      <c r="E4" s="44">
        <v>44.9</v>
      </c>
      <c r="F4" s="31">
        <f>Q4-E4</f>
        <v>50.6</v>
      </c>
      <c r="G4" s="44">
        <v>69.599999999999994</v>
      </c>
      <c r="H4" s="31">
        <f>R4-G4</f>
        <v>82.200000000000017</v>
      </c>
      <c r="I4" s="44">
        <v>100.5</v>
      </c>
      <c r="J4" s="31">
        <f>S4-I4</f>
        <v>83.5</v>
      </c>
      <c r="K4">
        <v>62.3</v>
      </c>
      <c r="L4" s="81">
        <f>T4-K4</f>
        <v>194</v>
      </c>
      <c r="P4" s="44">
        <v>69.900000000000006</v>
      </c>
      <c r="Q4">
        <v>95.5</v>
      </c>
      <c r="R4">
        <v>151.80000000000001</v>
      </c>
      <c r="S4">
        <v>184</v>
      </c>
      <c r="T4" s="59">
        <v>256.3</v>
      </c>
      <c r="U4" s="90">
        <f>T4*1.1</f>
        <v>281.93000000000006</v>
      </c>
      <c r="V4" s="59">
        <f t="shared" ref="V4" si="2">U4*1.12</f>
        <v>315.7616000000001</v>
      </c>
      <c r="W4" s="59">
        <f>V4*1.05</f>
        <v>331.54968000000014</v>
      </c>
      <c r="X4" s="59">
        <f t="shared" ref="X4:AG4" si="3">W4*1.05</f>
        <v>348.12716400000016</v>
      </c>
      <c r="Y4" s="59">
        <f t="shared" si="3"/>
        <v>365.53352220000016</v>
      </c>
      <c r="Z4" s="59">
        <f t="shared" si="3"/>
        <v>383.8101983100002</v>
      </c>
      <c r="AA4" s="59">
        <f t="shared" si="3"/>
        <v>403.0007082255002</v>
      </c>
      <c r="AB4" s="59">
        <f t="shared" si="3"/>
        <v>423.15074363677525</v>
      </c>
      <c r="AC4" s="59">
        <f t="shared" si="3"/>
        <v>444.30828081861404</v>
      </c>
      <c r="AD4" s="59">
        <f t="shared" si="3"/>
        <v>466.52369485954478</v>
      </c>
      <c r="AE4" s="59">
        <f t="shared" si="3"/>
        <v>489.84987960252204</v>
      </c>
      <c r="AF4" s="59">
        <f t="shared" si="3"/>
        <v>514.34237358264818</v>
      </c>
      <c r="AG4" s="59">
        <f t="shared" si="3"/>
        <v>540.05949226178063</v>
      </c>
    </row>
    <row r="5" spans="2:33" x14ac:dyDescent="0.25">
      <c r="B5" t="s">
        <v>72</v>
      </c>
      <c r="C5" s="44">
        <f>16.6+18.3</f>
        <v>34.900000000000006</v>
      </c>
      <c r="D5" s="31">
        <f>P5-C5</f>
        <v>34.099999999999994</v>
      </c>
      <c r="E5" s="44">
        <f>17.3+19.4</f>
        <v>36.700000000000003</v>
      </c>
      <c r="F5" s="31">
        <f>Q5-E5</f>
        <v>35.899999999999991</v>
      </c>
      <c r="G5" s="44">
        <v>58.6</v>
      </c>
      <c r="H5" s="31">
        <f>R5-G5</f>
        <v>76.5</v>
      </c>
      <c r="I5" s="44">
        <v>75.5</v>
      </c>
      <c r="J5" s="31">
        <f>S5-I5</f>
        <v>82.9</v>
      </c>
      <c r="K5">
        <v>58.2</v>
      </c>
      <c r="L5" s="81">
        <f>T5-K5</f>
        <v>125.99999999999999</v>
      </c>
      <c r="P5" s="44">
        <f>32.8+36.2</f>
        <v>69</v>
      </c>
      <c r="Q5">
        <f>33.6+39</f>
        <v>72.599999999999994</v>
      </c>
      <c r="R5">
        <v>135.1</v>
      </c>
      <c r="S5">
        <v>158.4</v>
      </c>
      <c r="T5" s="59">
        <f>-3.9+188.1</f>
        <v>184.2</v>
      </c>
      <c r="U5" s="90">
        <f>T5*1.08</f>
        <v>198.93600000000001</v>
      </c>
      <c r="V5" s="59">
        <f t="shared" ref="V5" si="4">U5*1.12</f>
        <v>222.80832000000004</v>
      </c>
      <c r="W5" s="59">
        <f>V5*1.05</f>
        <v>233.94873600000005</v>
      </c>
      <c r="X5" s="59">
        <f t="shared" ref="X5:AG5" si="5">W5*1.05</f>
        <v>245.64617280000007</v>
      </c>
      <c r="Y5" s="59">
        <f t="shared" si="5"/>
        <v>257.9284814400001</v>
      </c>
      <c r="Z5" s="59">
        <f t="shared" si="5"/>
        <v>270.8249055120001</v>
      </c>
      <c r="AA5" s="59">
        <f t="shared" si="5"/>
        <v>284.36615078760013</v>
      </c>
      <c r="AB5" s="59">
        <f t="shared" si="5"/>
        <v>298.58445832698015</v>
      </c>
      <c r="AC5" s="59">
        <f t="shared" si="5"/>
        <v>313.51368124332919</v>
      </c>
      <c r="AD5" s="59">
        <f t="shared" si="5"/>
        <v>329.18936530549564</v>
      </c>
      <c r="AE5" s="59">
        <f t="shared" si="5"/>
        <v>345.64883357077042</v>
      </c>
      <c r="AF5" s="59">
        <f t="shared" si="5"/>
        <v>362.93127524930895</v>
      </c>
      <c r="AG5" s="59">
        <f t="shared" si="5"/>
        <v>381.07783901177442</v>
      </c>
    </row>
    <row r="6" spans="2:33" x14ac:dyDescent="0.25">
      <c r="B6" t="s">
        <v>73</v>
      </c>
      <c r="C6" s="44">
        <f t="shared" ref="C6:L6" si="6">C4+C5</f>
        <v>72.7</v>
      </c>
      <c r="D6" s="31">
        <f t="shared" si="6"/>
        <v>66.2</v>
      </c>
      <c r="E6" s="44">
        <f t="shared" si="6"/>
        <v>81.599999999999994</v>
      </c>
      <c r="F6" s="31">
        <f t="shared" si="6"/>
        <v>86.5</v>
      </c>
      <c r="G6" s="44">
        <f t="shared" si="6"/>
        <v>128.19999999999999</v>
      </c>
      <c r="H6" s="31">
        <f t="shared" si="6"/>
        <v>158.70000000000002</v>
      </c>
      <c r="I6" s="44">
        <f t="shared" si="6"/>
        <v>176</v>
      </c>
      <c r="J6" s="31">
        <f t="shared" si="6"/>
        <v>166.4</v>
      </c>
      <c r="K6" s="44">
        <f>K4+K5</f>
        <v>120.5</v>
      </c>
      <c r="L6" s="31">
        <f t="shared" si="6"/>
        <v>320</v>
      </c>
      <c r="P6" s="44">
        <f t="shared" ref="P6:U6" si="7">P4+P5</f>
        <v>138.9</v>
      </c>
      <c r="Q6">
        <f t="shared" si="7"/>
        <v>168.1</v>
      </c>
      <c r="R6">
        <f t="shared" si="7"/>
        <v>286.89999999999998</v>
      </c>
      <c r="S6">
        <f t="shared" si="7"/>
        <v>342.4</v>
      </c>
      <c r="T6" s="59">
        <f t="shared" si="7"/>
        <v>440.5</v>
      </c>
      <c r="U6" s="90">
        <f t="shared" si="7"/>
        <v>480.8660000000001</v>
      </c>
      <c r="V6" s="59">
        <f t="shared" ref="V6:W6" si="8">V4+V5</f>
        <v>538.56992000000014</v>
      </c>
      <c r="W6" s="59">
        <f t="shared" si="8"/>
        <v>565.49841600000013</v>
      </c>
      <c r="X6" s="59">
        <f t="shared" ref="X6:AG6" si="9">X4+X5</f>
        <v>593.77333680000027</v>
      </c>
      <c r="Y6" s="59">
        <f t="shared" si="9"/>
        <v>623.46200364000026</v>
      </c>
      <c r="Z6" s="59">
        <f t="shared" si="9"/>
        <v>654.63510382200025</v>
      </c>
      <c r="AA6" s="59">
        <f t="shared" si="9"/>
        <v>687.36685901310034</v>
      </c>
      <c r="AB6" s="59">
        <f t="shared" si="9"/>
        <v>721.73520196375534</v>
      </c>
      <c r="AC6" s="59">
        <f t="shared" si="9"/>
        <v>757.82196206194317</v>
      </c>
      <c r="AD6" s="59">
        <f t="shared" si="9"/>
        <v>795.71306016504036</v>
      </c>
      <c r="AE6" s="59">
        <f t="shared" si="9"/>
        <v>835.49871317329246</v>
      </c>
      <c r="AF6" s="59">
        <f t="shared" si="9"/>
        <v>877.27364883195719</v>
      </c>
      <c r="AG6" s="59">
        <f t="shared" si="9"/>
        <v>921.13733127355499</v>
      </c>
    </row>
    <row r="7" spans="2:33" x14ac:dyDescent="0.25">
      <c r="B7" s="24" t="s">
        <v>74</v>
      </c>
      <c r="C7" s="43">
        <f t="shared" ref="C7:J7" si="10">C3-C6</f>
        <v>211.2</v>
      </c>
      <c r="D7" s="32">
        <f t="shared" si="10"/>
        <v>190.50000000000006</v>
      </c>
      <c r="E7" s="43">
        <f t="shared" si="10"/>
        <v>195.70000000000002</v>
      </c>
      <c r="F7" s="32">
        <f t="shared" si="10"/>
        <v>196.49999999999994</v>
      </c>
      <c r="G7" s="43">
        <f t="shared" si="10"/>
        <v>250.90000000000003</v>
      </c>
      <c r="H7" s="32">
        <f t="shared" si="10"/>
        <v>311.89999999999998</v>
      </c>
      <c r="I7" s="43">
        <f t="shared" si="10"/>
        <v>352.4</v>
      </c>
      <c r="J7" s="32">
        <f t="shared" si="10"/>
        <v>285.30000000000007</v>
      </c>
      <c r="K7" s="43">
        <f>K3-K6</f>
        <v>211.60000000000002</v>
      </c>
      <c r="L7" s="82">
        <f>L3-L6</f>
        <v>586.69999999999993</v>
      </c>
      <c r="P7" s="43">
        <f t="shared" ref="P7:T7" si="11">P3-P6</f>
        <v>401.70000000000005</v>
      </c>
      <c r="Q7" s="24">
        <f t="shared" si="11"/>
        <v>392.19999999999993</v>
      </c>
      <c r="R7" s="24">
        <f t="shared" si="11"/>
        <v>562.80000000000007</v>
      </c>
      <c r="S7" s="24">
        <f t="shared" si="11"/>
        <v>637.70000000000005</v>
      </c>
      <c r="T7" s="58">
        <f t="shared" si="11"/>
        <v>798.3</v>
      </c>
      <c r="U7" s="89">
        <f t="shared" ref="U7:W7" si="12">U3-U6</f>
        <v>943.75399999999979</v>
      </c>
      <c r="V7" s="58">
        <f t="shared" si="12"/>
        <v>1057.0044799999998</v>
      </c>
      <c r="W7" s="58">
        <f t="shared" si="12"/>
        <v>1109.8547039999999</v>
      </c>
      <c r="X7" s="58">
        <f t="shared" ref="X7:AG7" si="13">X3-X6</f>
        <v>1165.3474391999998</v>
      </c>
      <c r="Y7" s="58">
        <f t="shared" si="13"/>
        <v>1223.6148111599996</v>
      </c>
      <c r="Z7" s="58">
        <f t="shared" si="13"/>
        <v>1284.7955517179998</v>
      </c>
      <c r="AA7" s="58">
        <f t="shared" si="13"/>
        <v>1349.0353293038997</v>
      </c>
      <c r="AB7" s="58">
        <f t="shared" si="13"/>
        <v>1416.4870957690948</v>
      </c>
      <c r="AC7" s="58">
        <f t="shared" si="13"/>
        <v>1487.3114505575497</v>
      </c>
      <c r="AD7" s="58">
        <f t="shared" si="13"/>
        <v>1561.6770230854274</v>
      </c>
      <c r="AE7" s="58">
        <f t="shared" si="13"/>
        <v>1639.7608742396988</v>
      </c>
      <c r="AF7" s="58">
        <f t="shared" si="13"/>
        <v>1721.7489179516836</v>
      </c>
      <c r="AG7" s="58">
        <f t="shared" si="13"/>
        <v>1807.8363638492679</v>
      </c>
    </row>
    <row r="8" spans="2:33" x14ac:dyDescent="0.25">
      <c r="B8" t="s">
        <v>76</v>
      </c>
      <c r="C8" s="44">
        <v>82.7</v>
      </c>
      <c r="D8" s="31">
        <f>P8-C8</f>
        <v>72.3</v>
      </c>
      <c r="E8" s="44">
        <v>84.3</v>
      </c>
      <c r="F8" s="31">
        <f>Q8-E8</f>
        <v>77.500000000000014</v>
      </c>
      <c r="G8" s="44">
        <v>100.1</v>
      </c>
      <c r="H8" s="31">
        <f>R8-G8</f>
        <v>137</v>
      </c>
      <c r="I8" s="44">
        <v>170.9</v>
      </c>
      <c r="J8" s="31">
        <f>S8-I8</f>
        <v>135.6</v>
      </c>
      <c r="K8">
        <v>103.9</v>
      </c>
      <c r="L8" s="81">
        <f>T8-K8</f>
        <v>153.9</v>
      </c>
      <c r="P8" s="44">
        <v>155</v>
      </c>
      <c r="Q8">
        <v>161.80000000000001</v>
      </c>
      <c r="R8">
        <v>237.1</v>
      </c>
      <c r="S8">
        <v>306.5</v>
      </c>
      <c r="T8" s="59">
        <v>257.8</v>
      </c>
      <c r="U8" s="90">
        <f>T8*1.08</f>
        <v>278.42400000000004</v>
      </c>
      <c r="V8" s="59">
        <f t="shared" ref="V8" si="14">U8*1.08</f>
        <v>300.69792000000007</v>
      </c>
      <c r="W8" s="59">
        <f>V8*1.04</f>
        <v>312.72583680000008</v>
      </c>
      <c r="X8" s="59">
        <f t="shared" ref="X8:AG8" si="15">W8*1.04</f>
        <v>325.23487027200008</v>
      </c>
      <c r="Y8" s="59">
        <f t="shared" si="15"/>
        <v>338.24426508288008</v>
      </c>
      <c r="Z8" s="59">
        <f t="shared" si="15"/>
        <v>351.7740356861953</v>
      </c>
      <c r="AA8" s="59">
        <f t="shared" si="15"/>
        <v>365.8449971136431</v>
      </c>
      <c r="AB8" s="59">
        <f t="shared" si="15"/>
        <v>380.47879699818884</v>
      </c>
      <c r="AC8" s="59">
        <f t="shared" si="15"/>
        <v>395.69794887811639</v>
      </c>
      <c r="AD8" s="59">
        <f t="shared" si="15"/>
        <v>411.52586683324108</v>
      </c>
      <c r="AE8" s="59">
        <f t="shared" si="15"/>
        <v>427.98690150657075</v>
      </c>
      <c r="AF8" s="59">
        <f t="shared" si="15"/>
        <v>445.1063775668336</v>
      </c>
      <c r="AG8" s="59">
        <f t="shared" si="15"/>
        <v>462.91063266950698</v>
      </c>
    </row>
    <row r="9" spans="2:33" x14ac:dyDescent="0.25">
      <c r="B9" t="s">
        <v>77</v>
      </c>
      <c r="C9" s="44">
        <v>80.5</v>
      </c>
      <c r="D9" s="31">
        <f>P9-C9</f>
        <v>77.599999999999994</v>
      </c>
      <c r="E9" s="44">
        <v>85.1</v>
      </c>
      <c r="F9" s="31">
        <f>Q9-E9</f>
        <v>90.800000000000011</v>
      </c>
      <c r="G9" s="44">
        <v>99.7</v>
      </c>
      <c r="H9" s="31">
        <f>R9-G9</f>
        <v>114.99999999999999</v>
      </c>
      <c r="I9" s="44">
        <v>107.9</v>
      </c>
      <c r="J9" s="31">
        <f>S9-I9</f>
        <v>112.29999999999998</v>
      </c>
      <c r="K9">
        <v>76.2</v>
      </c>
      <c r="L9" s="81">
        <f>T9-K9</f>
        <v>372.3</v>
      </c>
      <c r="P9" s="44">
        <v>158.1</v>
      </c>
      <c r="Q9">
        <v>175.9</v>
      </c>
      <c r="R9">
        <v>214.7</v>
      </c>
      <c r="S9">
        <v>220.2</v>
      </c>
      <c r="T9" s="59">
        <v>448.5</v>
      </c>
      <c r="U9" s="90">
        <f>T9*1.12</f>
        <v>502.32000000000005</v>
      </c>
      <c r="V9" s="59">
        <f t="shared" ref="V9" si="16">U9*1.08</f>
        <v>542.50560000000007</v>
      </c>
      <c r="W9" s="59">
        <f>V9*1.04</f>
        <v>564.20582400000012</v>
      </c>
      <c r="X9" s="59">
        <f t="shared" ref="X9:AG9" si="17">W9*1.04</f>
        <v>586.77405696000017</v>
      </c>
      <c r="Y9" s="59">
        <f t="shared" si="17"/>
        <v>610.24501923840023</v>
      </c>
      <c r="Z9" s="59">
        <f t="shared" si="17"/>
        <v>634.65482000793622</v>
      </c>
      <c r="AA9" s="59">
        <f t="shared" si="17"/>
        <v>660.04101280825364</v>
      </c>
      <c r="AB9" s="59">
        <f t="shared" si="17"/>
        <v>686.44265332058376</v>
      </c>
      <c r="AC9" s="59">
        <f t="shared" si="17"/>
        <v>713.90035945340708</v>
      </c>
      <c r="AD9" s="59">
        <f t="shared" si="17"/>
        <v>742.45637383154337</v>
      </c>
      <c r="AE9" s="59">
        <f t="shared" si="17"/>
        <v>772.15462878480514</v>
      </c>
      <c r="AF9" s="59">
        <f t="shared" si="17"/>
        <v>803.04081393619742</v>
      </c>
      <c r="AG9" s="59">
        <f t="shared" si="17"/>
        <v>835.16244649364535</v>
      </c>
    </row>
    <row r="10" spans="2:33" x14ac:dyDescent="0.25">
      <c r="B10" t="s">
        <v>78</v>
      </c>
      <c r="C10" s="44">
        <v>-12</v>
      </c>
      <c r="D10" s="31">
        <f>P10-C10</f>
        <v>0.90000000000000036</v>
      </c>
      <c r="E10" s="44">
        <v>1.6</v>
      </c>
      <c r="F10" s="31">
        <f>Q10-E10</f>
        <v>0.69999999999999973</v>
      </c>
      <c r="G10" s="44">
        <v>-2.9</v>
      </c>
      <c r="H10" s="31">
        <f>R10-G10</f>
        <v>81.100000000000009</v>
      </c>
      <c r="I10" s="44">
        <v>11.6</v>
      </c>
      <c r="J10" s="31">
        <f>S10-I10</f>
        <v>12.4</v>
      </c>
      <c r="K10">
        <v>16.399999999999999</v>
      </c>
      <c r="L10" s="81">
        <f>T10-K10</f>
        <v>80.400000000000006</v>
      </c>
      <c r="P10" s="44">
        <v>-11.1</v>
      </c>
      <c r="Q10">
        <v>2.2999999999999998</v>
      </c>
      <c r="R10">
        <v>78.2</v>
      </c>
      <c r="S10">
        <v>24</v>
      </c>
      <c r="T10" s="59">
        <f>-0.3+97.1</f>
        <v>96.8</v>
      </c>
      <c r="U10" s="90">
        <f>AVERAGE(P10:T10)</f>
        <v>38.04</v>
      </c>
      <c r="V10" s="59">
        <f>U10*1.04</f>
        <v>39.561599999999999</v>
      </c>
      <c r="W10" s="59">
        <f>V10*1.04</f>
        <v>41.144064</v>
      </c>
      <c r="X10" s="59">
        <f t="shared" ref="X10:AG10" si="18">W10*1.04</f>
        <v>42.789826560000002</v>
      </c>
      <c r="Y10" s="59">
        <f t="shared" si="18"/>
        <v>44.5014196224</v>
      </c>
      <c r="Z10" s="59">
        <f t="shared" si="18"/>
        <v>46.281476407296005</v>
      </c>
      <c r="AA10" s="59">
        <f t="shared" si="18"/>
        <v>48.132735463587849</v>
      </c>
      <c r="AB10" s="59">
        <f t="shared" si="18"/>
        <v>50.058044882131362</v>
      </c>
      <c r="AC10" s="59">
        <f t="shared" si="18"/>
        <v>52.060366677416617</v>
      </c>
      <c r="AD10" s="59">
        <f t="shared" si="18"/>
        <v>54.142781344513281</v>
      </c>
      <c r="AE10" s="59">
        <f t="shared" si="18"/>
        <v>56.308492598293817</v>
      </c>
      <c r="AF10" s="59">
        <f t="shared" si="18"/>
        <v>58.56083230222557</v>
      </c>
      <c r="AG10" s="59">
        <f t="shared" si="18"/>
        <v>60.903265594314597</v>
      </c>
    </row>
    <row r="11" spans="2:33" x14ac:dyDescent="0.25">
      <c r="B11" s="24" t="s">
        <v>79</v>
      </c>
      <c r="C11" s="43">
        <f t="shared" ref="C11:J11" si="19">C7-C8-C9-C10</f>
        <v>60</v>
      </c>
      <c r="D11" s="32">
        <f t="shared" si="19"/>
        <v>39.700000000000067</v>
      </c>
      <c r="E11" s="43">
        <f t="shared" si="19"/>
        <v>24.700000000000024</v>
      </c>
      <c r="F11" s="32">
        <f t="shared" si="19"/>
        <v>27.499999999999918</v>
      </c>
      <c r="G11" s="43">
        <f t="shared" si="19"/>
        <v>54.000000000000036</v>
      </c>
      <c r="H11" s="32">
        <f t="shared" si="19"/>
        <v>-21.200000000000017</v>
      </c>
      <c r="I11" s="43">
        <f t="shared" si="19"/>
        <v>61.999999999999964</v>
      </c>
      <c r="J11" s="32">
        <f t="shared" si="19"/>
        <v>25.000000000000092</v>
      </c>
      <c r="K11" s="43">
        <f>K7-K8-K9-K10</f>
        <v>15.100000000000016</v>
      </c>
      <c r="L11" s="82">
        <f>L7-L8-L9-L10</f>
        <v>-19.900000000000063</v>
      </c>
      <c r="P11" s="43">
        <f t="shared" ref="P11:T11" si="20">P7-P8-P9-P10</f>
        <v>99.700000000000045</v>
      </c>
      <c r="Q11" s="24">
        <f t="shared" si="20"/>
        <v>52.199999999999918</v>
      </c>
      <c r="R11" s="24">
        <f t="shared" si="20"/>
        <v>32.800000000000054</v>
      </c>
      <c r="S11" s="24">
        <f t="shared" si="20"/>
        <v>87.000000000000057</v>
      </c>
      <c r="T11" s="58">
        <f t="shared" si="20"/>
        <v>-4.7999999999999972</v>
      </c>
      <c r="U11" s="89">
        <f t="shared" ref="U11:W11" si="21">U7-U8-U9-U10</f>
        <v>124.96999999999966</v>
      </c>
      <c r="V11" s="58">
        <f t="shared" si="21"/>
        <v>174.23935999999969</v>
      </c>
      <c r="W11" s="58">
        <f t="shared" si="21"/>
        <v>191.7789791999997</v>
      </c>
      <c r="X11" s="58">
        <f t="shared" ref="X11:AG11" si="22">X7-X8-X9-X10</f>
        <v>210.54868540799959</v>
      </c>
      <c r="Y11" s="58">
        <f t="shared" si="22"/>
        <v>230.62410721631935</v>
      </c>
      <c r="Z11" s="58">
        <f t="shared" si="22"/>
        <v>252.08521961657237</v>
      </c>
      <c r="AA11" s="58">
        <f t="shared" si="22"/>
        <v>275.01658391841517</v>
      </c>
      <c r="AB11" s="58">
        <f t="shared" si="22"/>
        <v>299.50760056819098</v>
      </c>
      <c r="AC11" s="58">
        <f t="shared" si="22"/>
        <v>325.65277554860961</v>
      </c>
      <c r="AD11" s="58">
        <f t="shared" si="22"/>
        <v>353.55200107612973</v>
      </c>
      <c r="AE11" s="58">
        <f t="shared" si="22"/>
        <v>383.310851350029</v>
      </c>
      <c r="AF11" s="58">
        <f t="shared" si="22"/>
        <v>415.04089414642704</v>
      </c>
      <c r="AG11" s="58">
        <f t="shared" si="22"/>
        <v>448.86001909180106</v>
      </c>
    </row>
    <row r="12" spans="2:33" x14ac:dyDescent="0.25">
      <c r="B12" t="s">
        <v>80</v>
      </c>
      <c r="C12" s="44">
        <v>0.3</v>
      </c>
      <c r="D12" s="31">
        <f>P12-C12</f>
        <v>0.3</v>
      </c>
      <c r="E12" s="44">
        <v>0.4</v>
      </c>
      <c r="F12" s="31">
        <f>Q12-E12</f>
        <v>9.9999999999999978E-2</v>
      </c>
      <c r="G12" s="44">
        <v>0.1</v>
      </c>
      <c r="H12" s="31">
        <f>R12-G12</f>
        <v>0</v>
      </c>
      <c r="I12" s="44">
        <v>0.1</v>
      </c>
      <c r="J12" s="31">
        <f>S12-I12</f>
        <v>0</v>
      </c>
      <c r="K12">
        <v>0.1</v>
      </c>
      <c r="L12" s="81">
        <f>T12-K12</f>
        <v>0.70000000000000007</v>
      </c>
      <c r="P12" s="44">
        <v>0.6</v>
      </c>
      <c r="Q12">
        <v>0.5</v>
      </c>
      <c r="R12">
        <v>0.1</v>
      </c>
      <c r="S12">
        <v>0.1</v>
      </c>
      <c r="T12" s="59">
        <v>0.8</v>
      </c>
      <c r="U12" s="90">
        <f>AVERAGE(P12:T12)</f>
        <v>0.4200000000000001</v>
      </c>
      <c r="V12" s="59">
        <v>0.1</v>
      </c>
      <c r="W12" s="59">
        <v>0.1</v>
      </c>
      <c r="X12" s="59">
        <v>0.1</v>
      </c>
      <c r="Y12" s="59">
        <v>0.1</v>
      </c>
      <c r="Z12" s="59">
        <v>0.1</v>
      </c>
      <c r="AA12" s="59">
        <v>0.1</v>
      </c>
      <c r="AB12" s="59">
        <v>0.1</v>
      </c>
      <c r="AC12" s="59">
        <v>0.1</v>
      </c>
      <c r="AD12" s="59">
        <v>0.1</v>
      </c>
      <c r="AE12" s="59">
        <v>0.1</v>
      </c>
      <c r="AF12" s="59">
        <v>0.1</v>
      </c>
      <c r="AG12" s="59">
        <v>0.1</v>
      </c>
    </row>
    <row r="13" spans="2:33" x14ac:dyDescent="0.25">
      <c r="B13" t="s">
        <v>81</v>
      </c>
      <c r="C13" s="44">
        <v>0.1</v>
      </c>
      <c r="D13" s="31">
        <f>P13-C13</f>
        <v>0.6</v>
      </c>
      <c r="E13" s="44">
        <v>2.9</v>
      </c>
      <c r="F13" s="31">
        <f>Q13-E13</f>
        <v>4.3000000000000007</v>
      </c>
      <c r="G13" s="44">
        <v>3.1</v>
      </c>
      <c r="H13" s="31">
        <f>R13-G13</f>
        <v>2.9999999999999996</v>
      </c>
      <c r="I13" s="44">
        <v>4.2</v>
      </c>
      <c r="J13" s="31">
        <f>S13-I13</f>
        <v>1.5999999999999996</v>
      </c>
      <c r="K13">
        <v>0.8</v>
      </c>
      <c r="L13" s="81">
        <f>T13-K13</f>
        <v>110.9</v>
      </c>
      <c r="P13" s="44">
        <v>0.7</v>
      </c>
      <c r="Q13">
        <v>7.2</v>
      </c>
      <c r="R13">
        <v>6.1</v>
      </c>
      <c r="S13">
        <v>5.8</v>
      </c>
      <c r="T13" s="59">
        <v>111.7</v>
      </c>
      <c r="U13" s="90">
        <f>T13*1.08</f>
        <v>120.63600000000001</v>
      </c>
      <c r="V13" s="59">
        <v>6</v>
      </c>
      <c r="W13" s="59">
        <v>6</v>
      </c>
      <c r="X13" s="59">
        <v>6</v>
      </c>
      <c r="Y13" s="59">
        <v>6</v>
      </c>
      <c r="Z13" s="59">
        <v>6</v>
      </c>
      <c r="AA13" s="59">
        <v>6</v>
      </c>
      <c r="AB13" s="59">
        <v>6</v>
      </c>
      <c r="AC13" s="59">
        <v>6</v>
      </c>
      <c r="AD13" s="59">
        <v>6</v>
      </c>
      <c r="AE13" s="59">
        <v>6</v>
      </c>
      <c r="AF13" s="59">
        <v>6</v>
      </c>
      <c r="AG13" s="59">
        <v>6</v>
      </c>
    </row>
    <row r="14" spans="2:33" x14ac:dyDescent="0.25">
      <c r="B14" t="s">
        <v>82</v>
      </c>
      <c r="C14" s="44">
        <v>-0.1</v>
      </c>
      <c r="D14" s="31">
        <f>P14-C14</f>
        <v>9.2000000000000011</v>
      </c>
      <c r="E14" s="44">
        <v>0</v>
      </c>
      <c r="F14" s="31">
        <f>Q14-E14</f>
        <v>0.2</v>
      </c>
      <c r="G14" s="44">
        <v>-0.1</v>
      </c>
      <c r="H14" s="31">
        <f>R14-G14</f>
        <v>0.2</v>
      </c>
      <c r="I14" s="44">
        <v>0</v>
      </c>
      <c r="J14" s="31">
        <f>S14-I14</f>
        <v>0</v>
      </c>
      <c r="K14">
        <v>0</v>
      </c>
      <c r="L14" s="81">
        <f>T14-K14</f>
        <v>0</v>
      </c>
      <c r="P14" s="44">
        <f>9.3+-0.2</f>
        <v>9.1000000000000014</v>
      </c>
      <c r="Q14">
        <v>0.2</v>
      </c>
      <c r="R14">
        <v>0.1</v>
      </c>
      <c r="S14">
        <v>0</v>
      </c>
      <c r="T14" s="59">
        <v>0</v>
      </c>
      <c r="U14" s="90">
        <f>AVERAGE(P14:T14)</f>
        <v>1.8800000000000001</v>
      </c>
      <c r="V14" s="59">
        <v>0.1</v>
      </c>
      <c r="W14" s="59">
        <v>0.1</v>
      </c>
      <c r="X14" s="59">
        <v>0.1</v>
      </c>
      <c r="Y14" s="59">
        <v>0.1</v>
      </c>
      <c r="Z14" s="59">
        <v>0.1</v>
      </c>
      <c r="AA14" s="59">
        <v>0.1</v>
      </c>
      <c r="AB14" s="59">
        <v>0.1</v>
      </c>
      <c r="AC14" s="59">
        <v>0.1</v>
      </c>
      <c r="AD14" s="59">
        <v>0.1</v>
      </c>
      <c r="AE14" s="59">
        <v>0.1</v>
      </c>
      <c r="AF14" s="59">
        <v>0.1</v>
      </c>
      <c r="AG14" s="59">
        <v>0.1</v>
      </c>
    </row>
    <row r="15" spans="2:33" x14ac:dyDescent="0.25">
      <c r="B15" t="s">
        <v>83</v>
      </c>
      <c r="C15" s="44">
        <f t="shared" ref="C15:J15" si="23">C11+C12-C13+C14</f>
        <v>60.099999999999994</v>
      </c>
      <c r="D15" s="31">
        <f t="shared" si="23"/>
        <v>48.600000000000065</v>
      </c>
      <c r="E15" s="44">
        <f t="shared" si="23"/>
        <v>22.200000000000024</v>
      </c>
      <c r="F15" s="31">
        <f t="shared" si="23"/>
        <v>23.499999999999918</v>
      </c>
      <c r="G15" s="44">
        <f t="shared" si="23"/>
        <v>50.900000000000034</v>
      </c>
      <c r="H15" s="31">
        <f t="shared" si="23"/>
        <v>-24.000000000000018</v>
      </c>
      <c r="I15" s="44">
        <f t="shared" si="23"/>
        <v>57.899999999999963</v>
      </c>
      <c r="J15" s="31">
        <f t="shared" si="23"/>
        <v>23.400000000000091</v>
      </c>
      <c r="K15" s="44">
        <f>K11+K12-K13+K14</f>
        <v>14.400000000000015</v>
      </c>
      <c r="L15" s="81">
        <f>L11+L12-L13-L14</f>
        <v>-130.10000000000008</v>
      </c>
      <c r="P15" s="44">
        <f>P11+P12-P13+P14</f>
        <v>108.70000000000005</v>
      </c>
      <c r="Q15">
        <f>Q11+Q12-Q13-Q14</f>
        <v>45.299999999999912</v>
      </c>
      <c r="R15">
        <f>R11+R12-R13-R14</f>
        <v>26.700000000000053</v>
      </c>
      <c r="S15">
        <f>S11+S12-S13-S14</f>
        <v>81.300000000000054</v>
      </c>
      <c r="T15" s="59">
        <f>T11+T12-T13-T14</f>
        <v>-115.7</v>
      </c>
      <c r="U15" s="90">
        <f t="shared" ref="U15:W15" si="24">U11+U12-U13-U14</f>
        <v>2.8739999999996497</v>
      </c>
      <c r="V15" s="59">
        <f t="shared" si="24"/>
        <v>168.23935999999969</v>
      </c>
      <c r="W15" s="59">
        <f t="shared" si="24"/>
        <v>185.7789791999997</v>
      </c>
      <c r="X15" s="59">
        <f t="shared" ref="X15:AG15" si="25">X11+X12-X13-X14</f>
        <v>204.54868540799959</v>
      </c>
      <c r="Y15" s="59">
        <f t="shared" si="25"/>
        <v>224.62410721631935</v>
      </c>
      <c r="Z15" s="59">
        <f t="shared" si="25"/>
        <v>246.08521961657237</v>
      </c>
      <c r="AA15" s="59">
        <f t="shared" si="25"/>
        <v>269.01658391841517</v>
      </c>
      <c r="AB15" s="59">
        <f t="shared" si="25"/>
        <v>293.50760056819098</v>
      </c>
      <c r="AC15" s="59">
        <f t="shared" si="25"/>
        <v>319.65277554860961</v>
      </c>
      <c r="AD15" s="59">
        <f t="shared" si="25"/>
        <v>347.55200107612973</v>
      </c>
      <c r="AE15" s="59">
        <f t="shared" si="25"/>
        <v>377.310851350029</v>
      </c>
      <c r="AF15" s="59">
        <f t="shared" si="25"/>
        <v>409.04089414642704</v>
      </c>
      <c r="AG15" s="59">
        <f t="shared" si="25"/>
        <v>442.86001909180106</v>
      </c>
    </row>
    <row r="16" spans="2:33" x14ac:dyDescent="0.25">
      <c r="B16" t="s">
        <v>84</v>
      </c>
      <c r="C16" s="44">
        <v>4.7</v>
      </c>
      <c r="D16" s="31">
        <f>P16-C16</f>
        <v>9.1999999999999993</v>
      </c>
      <c r="E16" s="44">
        <v>2.5</v>
      </c>
      <c r="F16" s="31">
        <f>Q16-E16</f>
        <v>1.2000000000000002</v>
      </c>
      <c r="G16" s="44">
        <v>5.4</v>
      </c>
      <c r="H16" s="31">
        <f>R16-G16</f>
        <v>10</v>
      </c>
      <c r="I16" s="44">
        <v>7.2</v>
      </c>
      <c r="J16" s="31">
        <f>S16-I16</f>
        <v>5.2</v>
      </c>
      <c r="K16">
        <v>2.4</v>
      </c>
      <c r="L16" s="81">
        <f>T16-K16</f>
        <v>2.5000000000000004</v>
      </c>
      <c r="P16" s="44">
        <v>13.9</v>
      </c>
      <c r="Q16">
        <v>3.7</v>
      </c>
      <c r="R16">
        <v>15.4</v>
      </c>
      <c r="S16">
        <v>12.4</v>
      </c>
      <c r="T16" s="59">
        <v>4.9000000000000004</v>
      </c>
      <c r="U16" s="90">
        <f t="shared" ref="U16:W16" si="26">U3*0.012</f>
        <v>17.09544</v>
      </c>
      <c r="V16" s="59">
        <f t="shared" si="26"/>
        <v>19.1468928</v>
      </c>
      <c r="W16" s="59">
        <f t="shared" si="26"/>
        <v>20.104237439999999</v>
      </c>
      <c r="X16" s="59">
        <f t="shared" ref="X16:AG16" si="27">X3*0.012</f>
        <v>21.109449311999999</v>
      </c>
      <c r="Y16" s="59">
        <f t="shared" si="27"/>
        <v>22.1649217776</v>
      </c>
      <c r="Z16" s="59">
        <f t="shared" si="27"/>
        <v>23.273167866480001</v>
      </c>
      <c r="AA16" s="59">
        <f t="shared" si="27"/>
        <v>24.436826259804</v>
      </c>
      <c r="AB16" s="59">
        <f t="shared" si="27"/>
        <v>25.658667572794201</v>
      </c>
      <c r="AC16" s="59">
        <f t="shared" si="27"/>
        <v>26.941600951433916</v>
      </c>
      <c r="AD16" s="59">
        <f t="shared" si="27"/>
        <v>28.288680999005614</v>
      </c>
      <c r="AE16" s="59">
        <f t="shared" si="27"/>
        <v>29.703115048955894</v>
      </c>
      <c r="AF16" s="59">
        <f t="shared" si="27"/>
        <v>31.188270801403689</v>
      </c>
      <c r="AG16" s="59">
        <f t="shared" si="27"/>
        <v>32.747684341473878</v>
      </c>
    </row>
    <row r="17" spans="2:85" x14ac:dyDescent="0.25">
      <c r="B17" s="24" t="s">
        <v>85</v>
      </c>
      <c r="C17" s="43">
        <f t="shared" ref="C17:J17" si="28">C15-C16</f>
        <v>55.399999999999991</v>
      </c>
      <c r="D17" s="32">
        <f t="shared" si="28"/>
        <v>39.400000000000063</v>
      </c>
      <c r="E17" s="43">
        <f t="shared" si="28"/>
        <v>19.700000000000024</v>
      </c>
      <c r="F17" s="32">
        <f t="shared" si="28"/>
        <v>22.299999999999919</v>
      </c>
      <c r="G17" s="43">
        <f t="shared" si="28"/>
        <v>45.500000000000036</v>
      </c>
      <c r="H17" s="32">
        <f t="shared" si="28"/>
        <v>-34.000000000000014</v>
      </c>
      <c r="I17" s="43">
        <f t="shared" si="28"/>
        <v>50.69999999999996</v>
      </c>
      <c r="J17" s="32">
        <f t="shared" si="28"/>
        <v>18.200000000000092</v>
      </c>
      <c r="K17" s="113">
        <f>K15-K16</f>
        <v>12.000000000000014</v>
      </c>
      <c r="L17" s="82">
        <f>L15-L16</f>
        <v>-132.60000000000008</v>
      </c>
      <c r="M17" s="24"/>
      <c r="N17" s="24"/>
      <c r="O17" s="24"/>
      <c r="P17" s="43">
        <f t="shared" ref="P17:T17" si="29">P15-P16</f>
        <v>94.80000000000004</v>
      </c>
      <c r="Q17" s="24">
        <f t="shared" si="29"/>
        <v>41.599999999999909</v>
      </c>
      <c r="R17" s="24">
        <f t="shared" si="29"/>
        <v>11.300000000000052</v>
      </c>
      <c r="S17" s="24">
        <f t="shared" si="29"/>
        <v>68.900000000000048</v>
      </c>
      <c r="T17" s="58">
        <f t="shared" si="29"/>
        <v>-120.60000000000001</v>
      </c>
      <c r="U17" s="89">
        <f t="shared" ref="U17:W17" si="30">U15-U16</f>
        <v>-14.221440000000349</v>
      </c>
      <c r="V17" s="58">
        <f t="shared" si="30"/>
        <v>149.0924671999997</v>
      </c>
      <c r="W17" s="58">
        <f t="shared" si="30"/>
        <v>165.6747417599997</v>
      </c>
      <c r="X17" s="58">
        <f t="shared" ref="X17:AG17" si="31">X15-X16</f>
        <v>183.43923609599958</v>
      </c>
      <c r="Y17" s="58">
        <f t="shared" si="31"/>
        <v>202.45918543871935</v>
      </c>
      <c r="Z17" s="58">
        <f t="shared" si="31"/>
        <v>222.81205175009237</v>
      </c>
      <c r="AA17" s="58">
        <f t="shared" si="31"/>
        <v>244.57975765861116</v>
      </c>
      <c r="AB17" s="58">
        <f t="shared" si="31"/>
        <v>267.84893299539681</v>
      </c>
      <c r="AC17" s="58">
        <f t="shared" si="31"/>
        <v>292.71117459717567</v>
      </c>
      <c r="AD17" s="58">
        <f t="shared" si="31"/>
        <v>319.26332007712409</v>
      </c>
      <c r="AE17" s="58">
        <f t="shared" si="31"/>
        <v>347.60773630107309</v>
      </c>
      <c r="AF17" s="58">
        <f t="shared" si="31"/>
        <v>377.85262334502335</v>
      </c>
      <c r="AG17" s="58">
        <f t="shared" si="31"/>
        <v>410.11233475032719</v>
      </c>
      <c r="AH17" s="58">
        <f>AG17*(1+$AK$20)</f>
        <v>401.91008805532061</v>
      </c>
      <c r="AI17" s="58">
        <f t="shared" ref="AI17:CG17" si="32">AH17*(1+$AK$20)</f>
        <v>393.87188629421422</v>
      </c>
      <c r="AJ17" s="58">
        <f t="shared" si="32"/>
        <v>385.99444856832991</v>
      </c>
      <c r="AK17" s="58">
        <f t="shared" si="32"/>
        <v>378.27455959696329</v>
      </c>
      <c r="AL17" s="58">
        <f t="shared" si="32"/>
        <v>370.70906840502403</v>
      </c>
      <c r="AM17" s="58">
        <f t="shared" si="32"/>
        <v>363.29488703692351</v>
      </c>
      <c r="AN17" s="58">
        <f t="shared" si="32"/>
        <v>356.02898929618505</v>
      </c>
      <c r="AO17" s="58">
        <f t="shared" si="32"/>
        <v>348.90840951026132</v>
      </c>
      <c r="AP17" s="58">
        <f t="shared" si="32"/>
        <v>341.9302413200561</v>
      </c>
      <c r="AQ17" s="58">
        <f t="shared" si="32"/>
        <v>335.09163649365496</v>
      </c>
      <c r="AR17" s="58">
        <f t="shared" si="32"/>
        <v>328.38980376378186</v>
      </c>
      <c r="AS17" s="58">
        <f t="shared" si="32"/>
        <v>321.82200768850623</v>
      </c>
      <c r="AT17" s="58">
        <f t="shared" si="32"/>
        <v>315.38556753473608</v>
      </c>
      <c r="AU17" s="58">
        <f t="shared" si="32"/>
        <v>309.07785618404137</v>
      </c>
      <c r="AV17" s="58">
        <f t="shared" si="32"/>
        <v>302.89629906036055</v>
      </c>
      <c r="AW17" s="58">
        <f t="shared" si="32"/>
        <v>296.83837307915331</v>
      </c>
      <c r="AX17" s="58">
        <f t="shared" si="32"/>
        <v>290.90160561757023</v>
      </c>
      <c r="AY17" s="58">
        <f t="shared" si="32"/>
        <v>285.08357350521879</v>
      </c>
      <c r="AZ17" s="58">
        <f t="shared" si="32"/>
        <v>279.38190203511442</v>
      </c>
      <c r="BA17" s="58">
        <f t="shared" si="32"/>
        <v>273.79426399441212</v>
      </c>
      <c r="BB17" s="58">
        <f t="shared" si="32"/>
        <v>268.31837871452387</v>
      </c>
      <c r="BC17" s="58">
        <f t="shared" si="32"/>
        <v>262.95201114023337</v>
      </c>
      <c r="BD17" s="58">
        <f t="shared" si="32"/>
        <v>257.69297091742868</v>
      </c>
      <c r="BE17" s="58">
        <f t="shared" si="32"/>
        <v>252.53911149908009</v>
      </c>
      <c r="BF17" s="58">
        <f t="shared" si="32"/>
        <v>247.4883292690985</v>
      </c>
      <c r="BG17" s="58">
        <f t="shared" si="32"/>
        <v>242.53856268371652</v>
      </c>
      <c r="BH17" s="58">
        <f t="shared" si="32"/>
        <v>237.68779143004218</v>
      </c>
      <c r="BI17" s="58">
        <f t="shared" si="32"/>
        <v>232.93403560144134</v>
      </c>
      <c r="BJ17" s="58">
        <f t="shared" si="32"/>
        <v>228.27535488941251</v>
      </c>
      <c r="BK17" s="58">
        <f t="shared" si="32"/>
        <v>223.70984779162427</v>
      </c>
      <c r="BL17" s="58">
        <f t="shared" si="32"/>
        <v>219.23565083579177</v>
      </c>
      <c r="BM17" s="58">
        <f t="shared" si="32"/>
        <v>214.85093781907594</v>
      </c>
      <c r="BN17" s="58">
        <f t="shared" si="32"/>
        <v>210.5539190626944</v>
      </c>
      <c r="BO17" s="58">
        <f t="shared" si="32"/>
        <v>206.34284068144052</v>
      </c>
      <c r="BP17" s="58">
        <f t="shared" si="32"/>
        <v>202.2159838678117</v>
      </c>
      <c r="BQ17" s="58">
        <f t="shared" si="32"/>
        <v>198.17166419045546</v>
      </c>
      <c r="BR17" s="58">
        <f t="shared" si="32"/>
        <v>194.20823090664635</v>
      </c>
      <c r="BS17" s="58">
        <f t="shared" si="32"/>
        <v>190.32406628851342</v>
      </c>
      <c r="BT17" s="58">
        <f t="shared" si="32"/>
        <v>186.51758496274314</v>
      </c>
      <c r="BU17" s="58">
        <f t="shared" si="32"/>
        <v>182.78723326348828</v>
      </c>
      <c r="BV17" s="58">
        <f t="shared" si="32"/>
        <v>179.13148859821851</v>
      </c>
      <c r="BW17" s="58">
        <f t="shared" si="32"/>
        <v>175.54885882625413</v>
      </c>
      <c r="BX17" s="58">
        <f t="shared" si="32"/>
        <v>172.03788164972906</v>
      </c>
      <c r="BY17" s="58">
        <f t="shared" si="32"/>
        <v>168.59712401673448</v>
      </c>
      <c r="BZ17" s="58">
        <f t="shared" si="32"/>
        <v>165.22518153639979</v>
      </c>
      <c r="CA17" s="58">
        <f t="shared" si="32"/>
        <v>161.92067790567179</v>
      </c>
      <c r="CB17" s="58">
        <f t="shared" si="32"/>
        <v>158.68226434755834</v>
      </c>
      <c r="CC17" s="58">
        <f t="shared" si="32"/>
        <v>155.50861906060717</v>
      </c>
      <c r="CD17" s="58">
        <f t="shared" si="32"/>
        <v>152.39844667939502</v>
      </c>
      <c r="CE17" s="58">
        <f t="shared" si="32"/>
        <v>149.35047774580713</v>
      </c>
      <c r="CF17" s="58">
        <f t="shared" si="32"/>
        <v>146.36346819089098</v>
      </c>
      <c r="CG17" s="58">
        <f t="shared" si="32"/>
        <v>143.43619882707316</v>
      </c>
    </row>
    <row r="18" spans="2:85" x14ac:dyDescent="0.25">
      <c r="B18" t="s">
        <v>86</v>
      </c>
      <c r="C18" s="45">
        <f t="shared" ref="C18:K18" si="33">C17/C19</f>
        <v>0.15406237981865581</v>
      </c>
      <c r="D18" s="52">
        <f t="shared" si="33"/>
        <v>0.10738586516487969</v>
      </c>
      <c r="E18" s="45">
        <f t="shared" si="33"/>
        <v>5.3742048175146807E-2</v>
      </c>
      <c r="F18" s="52">
        <f t="shared" si="33"/>
        <v>6.0384141705495976E-2</v>
      </c>
      <c r="G18" s="45">
        <f t="shared" si="33"/>
        <v>0.12348448006481083</v>
      </c>
      <c r="H18" s="52">
        <f t="shared" si="33"/>
        <v>-9.2243929380207298E-2</v>
      </c>
      <c r="I18" s="45">
        <f t="shared" si="33"/>
        <v>0.13680300175898699</v>
      </c>
      <c r="J18" s="52">
        <f t="shared" si="33"/>
        <v>4.9005998277644049E-2</v>
      </c>
      <c r="K18" s="45">
        <f t="shared" si="33"/>
        <v>2.9490166916703996E-2</v>
      </c>
      <c r="L18" s="81">
        <f>L17/L19</f>
        <v>-0.31087617020964553</v>
      </c>
      <c r="P18" s="45">
        <f t="shared" ref="P18:T18" si="34">P17/P19</f>
        <v>0.25838020349316199</v>
      </c>
      <c r="Q18" s="39">
        <f t="shared" si="34"/>
        <v>0.1126448562757236</v>
      </c>
      <c r="R18" s="39">
        <f t="shared" si="34"/>
        <v>3.0657541235186672E-2</v>
      </c>
      <c r="S18" s="39">
        <f t="shared" si="34"/>
        <v>0.18552270776536595</v>
      </c>
      <c r="T18" s="39">
        <f t="shared" si="34"/>
        <v>-0.28274258014542408</v>
      </c>
      <c r="U18" s="174">
        <f t="shared" ref="U18:W18" si="35">U17/U19</f>
        <v>-3.3341680256910762E-2</v>
      </c>
      <c r="V18" s="59">
        <f t="shared" si="35"/>
        <v>0.37435873142458603</v>
      </c>
      <c r="W18" s="59">
        <f t="shared" si="35"/>
        <v>0.40838854075337672</v>
      </c>
      <c r="X18" s="59">
        <f t="shared" ref="X18:AG18" si="36">X17/X19</f>
        <v>0.44723948807165048</v>
      </c>
      <c r="Y18" s="59">
        <f t="shared" si="36"/>
        <v>0.49361164153360126</v>
      </c>
      <c r="Z18" s="59">
        <f t="shared" si="36"/>
        <v>0.54871102539476602</v>
      </c>
      <c r="AA18" s="59">
        <f t="shared" si="36"/>
        <v>0.59943764095586094</v>
      </c>
      <c r="AB18" s="59">
        <f t="shared" si="36"/>
        <v>0.65552946227053865</v>
      </c>
      <c r="AC18" s="59">
        <f t="shared" si="36"/>
        <v>0.71706112884311868</v>
      </c>
      <c r="AD18" s="59">
        <f t="shared" si="36"/>
        <v>0.7830413380539174</v>
      </c>
      <c r="AE18" s="59">
        <f t="shared" si="36"/>
        <v>0.85169458387769381</v>
      </c>
      <c r="AF18" s="59">
        <f t="shared" si="36"/>
        <v>0.92573063875209538</v>
      </c>
      <c r="AG18" s="59">
        <f t="shared" si="36"/>
        <v>1.0050324376441397</v>
      </c>
    </row>
    <row r="19" spans="2:85" x14ac:dyDescent="0.25">
      <c r="B19" t="s">
        <v>1</v>
      </c>
      <c r="C19" s="46">
        <v>359.59460100000001</v>
      </c>
      <c r="D19" s="48">
        <f>P19</f>
        <v>366.90117400000003</v>
      </c>
      <c r="E19" s="46">
        <v>366.56585799999999</v>
      </c>
      <c r="F19" s="48">
        <f>Q19</f>
        <v>369.30225999999999</v>
      </c>
      <c r="G19" s="46">
        <v>368.46735699999999</v>
      </c>
      <c r="H19" s="48">
        <f>R19</f>
        <v>368.587941</v>
      </c>
      <c r="I19" s="46">
        <v>370.60590300000001</v>
      </c>
      <c r="J19" s="48">
        <f>S19</f>
        <v>371.38310899999999</v>
      </c>
      <c r="K19" s="40">
        <v>406.91529600000001</v>
      </c>
      <c r="L19" s="81">
        <f>T19</f>
        <v>426.53639199999998</v>
      </c>
      <c r="P19" s="46">
        <v>366.90117400000003</v>
      </c>
      <c r="Q19" s="40">
        <v>369.30225999999999</v>
      </c>
      <c r="R19" s="40">
        <v>368.587941</v>
      </c>
      <c r="S19" s="40">
        <v>371.38310899999999</v>
      </c>
      <c r="T19" s="40">
        <v>426.53639199999998</v>
      </c>
      <c r="U19" s="90">
        <f>T19</f>
        <v>426.53639199999998</v>
      </c>
      <c r="V19" s="59">
        <f>AVERAGE(R19:U19)</f>
        <v>398.26095850000002</v>
      </c>
      <c r="W19" s="59">
        <f>AVERAGE(S19:V19)</f>
        <v>405.67921287499996</v>
      </c>
      <c r="X19" s="59">
        <f>AVERAGE(U19:W19)</f>
        <v>410.15885445833328</v>
      </c>
      <c r="Y19" s="59">
        <f t="shared" ref="Y19" si="37">AVERAGE(U19:X19)</f>
        <v>410.15885445833328</v>
      </c>
      <c r="Z19" s="59">
        <f t="shared" ref="Z19" si="38">AVERAGE(V19:Y19)</f>
        <v>406.06447007291661</v>
      </c>
      <c r="AA19" s="59">
        <f t="shared" ref="AA19" si="39">AVERAGE(W19:Z19)</f>
        <v>408.01534796614578</v>
      </c>
      <c r="AB19" s="59">
        <f t="shared" ref="AB19" si="40">AVERAGE(X19:AA19)</f>
        <v>408.59938173893227</v>
      </c>
      <c r="AC19" s="59">
        <f t="shared" ref="AC19" si="41">AVERAGE(Y19:AB19)</f>
        <v>408.20951355908198</v>
      </c>
      <c r="AD19" s="59">
        <f t="shared" ref="AD19" si="42">AVERAGE(Z19:AC19)</f>
        <v>407.72217833426919</v>
      </c>
      <c r="AE19" s="59">
        <f t="shared" ref="AE19" si="43">AVERAGE(AA19:AD19)</f>
        <v>408.13660539960733</v>
      </c>
      <c r="AF19" s="59">
        <f t="shared" ref="AF19" si="44">AVERAGE(AB19:AE19)</f>
        <v>408.16691975797272</v>
      </c>
      <c r="AG19" s="59">
        <f t="shared" ref="AG19" si="45">AVERAGE(AC19:AF19)</f>
        <v>408.05880426273279</v>
      </c>
    </row>
    <row r="20" spans="2:85" x14ac:dyDescent="0.25">
      <c r="D20" s="31"/>
      <c r="F20" s="31"/>
      <c r="H20" s="31"/>
      <c r="J20" s="31"/>
      <c r="L20" s="31"/>
      <c r="AJ20" s="66" t="s">
        <v>120</v>
      </c>
      <c r="AK20" s="60">
        <v>-0.02</v>
      </c>
    </row>
    <row r="21" spans="2:85" x14ac:dyDescent="0.25">
      <c r="B21" t="s">
        <v>70</v>
      </c>
      <c r="C21" s="36">
        <f t="shared" ref="C21:J21" si="46">C7/C3</f>
        <v>0.7439239168721381</v>
      </c>
      <c r="D21" s="49">
        <f t="shared" si="46"/>
        <v>0.74211141410206471</v>
      </c>
      <c r="E21" s="36">
        <f t="shared" si="46"/>
        <v>0.70573386224305812</v>
      </c>
      <c r="F21" s="49">
        <f t="shared" si="46"/>
        <v>0.69434628975265011</v>
      </c>
      <c r="G21" s="36">
        <f t="shared" si="46"/>
        <v>0.66183065154312848</v>
      </c>
      <c r="H21" s="49">
        <f t="shared" si="46"/>
        <v>0.66277093072673177</v>
      </c>
      <c r="I21" s="36">
        <f t="shared" si="46"/>
        <v>0.66691900075700228</v>
      </c>
      <c r="J21" s="49">
        <f t="shared" si="46"/>
        <v>0.63161390303298659</v>
      </c>
      <c r="K21" s="36">
        <f>K7/K3</f>
        <v>0.63715748268593797</v>
      </c>
      <c r="L21" s="49">
        <f>L7/L3</f>
        <v>0.64707179883092536</v>
      </c>
      <c r="P21" s="36">
        <f t="shared" ref="P21:T21" si="47">P7/P3</f>
        <v>0.74306326304106551</v>
      </c>
      <c r="Q21" s="36">
        <f t="shared" si="47"/>
        <v>0.69998215241834727</v>
      </c>
      <c r="R21" s="36">
        <f t="shared" si="47"/>
        <v>0.66235141814758158</v>
      </c>
      <c r="S21" s="36">
        <f t="shared" si="47"/>
        <v>0.65064789307213555</v>
      </c>
      <c r="T21" s="36">
        <f t="shared" si="47"/>
        <v>0.64441394898288662</v>
      </c>
      <c r="U21" s="92">
        <f t="shared" ref="U21:W21" si="48">U7/U3</f>
        <v>0.66246016481588066</v>
      </c>
      <c r="V21" s="36">
        <f t="shared" si="48"/>
        <v>0.66246016481588066</v>
      </c>
      <c r="W21" s="36">
        <f t="shared" si="48"/>
        <v>0.66246016481588066</v>
      </c>
      <c r="X21" s="36">
        <f t="shared" ref="X21:AG21" si="49">X7/X3</f>
        <v>0.66246016481588066</v>
      </c>
      <c r="Y21" s="36">
        <f t="shared" si="49"/>
        <v>0.66246016481588055</v>
      </c>
      <c r="Z21" s="36">
        <f t="shared" si="49"/>
        <v>0.66246016481588066</v>
      </c>
      <c r="AA21" s="36">
        <f t="shared" si="49"/>
        <v>0.66246016481588055</v>
      </c>
      <c r="AB21" s="36">
        <f t="shared" si="49"/>
        <v>0.66246016481588055</v>
      </c>
      <c r="AC21" s="36">
        <f t="shared" si="49"/>
        <v>0.66246016481588055</v>
      </c>
      <c r="AD21" s="36">
        <f t="shared" si="49"/>
        <v>0.66246016481588066</v>
      </c>
      <c r="AE21" s="36">
        <f t="shared" si="49"/>
        <v>0.66246016481588066</v>
      </c>
      <c r="AF21" s="36">
        <f t="shared" si="49"/>
        <v>0.66246016481588055</v>
      </c>
      <c r="AG21" s="36">
        <f t="shared" si="49"/>
        <v>0.66246016481588055</v>
      </c>
      <c r="AJ21" s="67" t="s">
        <v>121</v>
      </c>
      <c r="AK21" s="76">
        <v>0.11</v>
      </c>
    </row>
    <row r="22" spans="2:85" x14ac:dyDescent="0.25">
      <c r="B22" t="s">
        <v>69</v>
      </c>
      <c r="C22" s="36">
        <f t="shared" ref="C22:J22" si="50">C11/C3</f>
        <v>0.21134202183867562</v>
      </c>
      <c r="D22" s="49">
        <f t="shared" si="50"/>
        <v>0.15465523957927566</v>
      </c>
      <c r="E22" s="36">
        <f t="shared" si="50"/>
        <v>8.9073205914172462E-2</v>
      </c>
      <c r="F22" s="49">
        <f t="shared" si="50"/>
        <v>9.7173144876324821E-2</v>
      </c>
      <c r="G22" s="36">
        <f t="shared" si="50"/>
        <v>0.14244262727512538</v>
      </c>
      <c r="H22" s="49">
        <f t="shared" si="50"/>
        <v>-4.5048873778155578E-2</v>
      </c>
      <c r="I22" s="36">
        <f t="shared" si="50"/>
        <v>0.11733535200605595</v>
      </c>
      <c r="J22" s="49">
        <f t="shared" si="50"/>
        <v>5.5346468895284683E-2</v>
      </c>
      <c r="K22" s="36">
        <f>K11/K3</f>
        <v>4.5468232460102426E-2</v>
      </c>
      <c r="L22" s="49">
        <f>L11/L3</f>
        <v>-2.1947722510201901E-2</v>
      </c>
      <c r="P22" s="36">
        <f t="shared" ref="P22:T22" si="51">P11/P3</f>
        <v>0.18442471328153912</v>
      </c>
      <c r="Q22" s="36">
        <f t="shared" si="51"/>
        <v>9.3164376227021103E-2</v>
      </c>
      <c r="R22" s="36">
        <f t="shared" si="51"/>
        <v>3.8601859479816467E-2</v>
      </c>
      <c r="S22" s="36">
        <f t="shared" si="51"/>
        <v>8.8766452402816096E-2</v>
      </c>
      <c r="T22" s="36">
        <f t="shared" si="51"/>
        <v>-3.8747174685179182E-3</v>
      </c>
      <c r="U22" s="92">
        <f t="shared" ref="U22:W22" si="52">U11/U3</f>
        <v>8.7721638050848413E-2</v>
      </c>
      <c r="V22" s="36">
        <f t="shared" si="52"/>
        <v>0.10920165176879229</v>
      </c>
      <c r="W22" s="36">
        <f t="shared" si="52"/>
        <v>0.11447078046447885</v>
      </c>
      <c r="X22" s="36">
        <f t="shared" ref="X22:AG22" si="53">X11/X3</f>
        <v>0.11968972698211119</v>
      </c>
      <c r="Y22" s="36">
        <f t="shared" si="53"/>
        <v>0.1248589692471946</v>
      </c>
      <c r="Z22" s="36">
        <f t="shared" si="53"/>
        <v>0.12997898063356317</v>
      </c>
      <c r="AA22" s="36">
        <f t="shared" si="53"/>
        <v>0.13505023000672803</v>
      </c>
      <c r="AB22" s="36">
        <f t="shared" si="53"/>
        <v>0.1400731817668153</v>
      </c>
      <c r="AC22" s="36">
        <f t="shared" si="53"/>
        <v>0.14504829589109211</v>
      </c>
      <c r="AD22" s="36">
        <f t="shared" si="53"/>
        <v>0.14997602797609019</v>
      </c>
      <c r="AE22" s="36">
        <f t="shared" si="53"/>
        <v>0.1548568292793262</v>
      </c>
      <c r="AF22" s="36">
        <f t="shared" si="53"/>
        <v>0.15969114676062668</v>
      </c>
      <c r="AG22" s="36">
        <f t="shared" si="53"/>
        <v>0.16447942312305772</v>
      </c>
      <c r="AJ22" s="67" t="s">
        <v>122</v>
      </c>
      <c r="AK22" s="61">
        <f>NPV(AK21,U17:CG17)</f>
        <v>2169.1604599589336</v>
      </c>
    </row>
    <row r="23" spans="2:85" x14ac:dyDescent="0.25">
      <c r="B23" t="s">
        <v>68</v>
      </c>
      <c r="C23" s="36">
        <f t="shared" ref="C23:J23" si="54">C17/C3</f>
        <v>0.19513913349771045</v>
      </c>
      <c r="D23" s="49">
        <f t="shared" si="54"/>
        <v>0.15348656018698892</v>
      </c>
      <c r="E23" s="36">
        <f t="shared" si="54"/>
        <v>7.1042192571222587E-2</v>
      </c>
      <c r="F23" s="49">
        <f t="shared" si="54"/>
        <v>7.8798586572437893E-2</v>
      </c>
      <c r="G23" s="36">
        <f t="shared" si="54"/>
        <v>0.12002110261144826</v>
      </c>
      <c r="H23" s="49">
        <f t="shared" si="54"/>
        <v>-7.2248193795155152E-2</v>
      </c>
      <c r="I23" s="36">
        <f t="shared" si="54"/>
        <v>9.5950037850113482E-2</v>
      </c>
      <c r="J23" s="49">
        <f t="shared" si="54"/>
        <v>4.0292229355767303E-2</v>
      </c>
      <c r="K23" s="36">
        <f>K17/K3</f>
        <v>3.6133694670280075E-2</v>
      </c>
      <c r="L23" s="49">
        <f>L17/L3</f>
        <v>-0.14624462335943542</v>
      </c>
      <c r="P23" s="36">
        <f t="shared" ref="P23:T23" si="55">P17/P3</f>
        <v>0.17536071032186465</v>
      </c>
      <c r="Q23" s="36">
        <f t="shared" si="55"/>
        <v>7.4245939675173858E-2</v>
      </c>
      <c r="R23" s="36">
        <f t="shared" si="55"/>
        <v>1.3298811345180713E-2</v>
      </c>
      <c r="S23" s="36">
        <f t="shared" si="55"/>
        <v>7.0298949086827919E-2</v>
      </c>
      <c r="T23" s="36">
        <f t="shared" si="55"/>
        <v>-9.7352276396512769E-2</v>
      </c>
      <c r="U23" s="92">
        <f t="shared" ref="U23:W23" si="56">U17/U3</f>
        <v>-9.9826199267175463E-3</v>
      </c>
      <c r="V23" s="36">
        <f t="shared" si="56"/>
        <v>9.3441250498879719E-2</v>
      </c>
      <c r="W23" s="36">
        <f t="shared" si="56"/>
        <v>9.8889445921704969E-2</v>
      </c>
      <c r="X23" s="36">
        <f t="shared" ref="X23:AG23" si="57">X17/X3</f>
        <v>0.1042789321794694</v>
      </c>
      <c r="Y23" s="36">
        <f t="shared" si="57"/>
        <v>0.1096105932446786</v>
      </c>
      <c r="Z23" s="36">
        <f t="shared" si="57"/>
        <v>0.11488528920259554</v>
      </c>
      <c r="AA23" s="36">
        <f t="shared" si="57"/>
        <v>0.1201038572153303</v>
      </c>
      <c r="AB23" s="36">
        <f t="shared" si="57"/>
        <v>0.12526711244167463</v>
      </c>
      <c r="AC23" s="36">
        <f t="shared" si="57"/>
        <v>0.13037584891476764</v>
      </c>
      <c r="AD23" s="36">
        <f t="shared" si="57"/>
        <v>0.13543084037959069</v>
      </c>
      <c r="AE23" s="36">
        <f t="shared" si="57"/>
        <v>0.14043284109218382</v>
      </c>
      <c r="AF23" s="36">
        <f t="shared" si="57"/>
        <v>0.14538258658239586</v>
      </c>
      <c r="AG23" s="36">
        <f t="shared" si="57"/>
        <v>0.15028079438188549</v>
      </c>
      <c r="AJ23" s="67" t="s">
        <v>5</v>
      </c>
      <c r="AK23" s="62">
        <v>255.6</v>
      </c>
    </row>
    <row r="24" spans="2:85" x14ac:dyDescent="0.25">
      <c r="B24" t="s">
        <v>67</v>
      </c>
      <c r="C24" s="36">
        <f t="shared" ref="C24:J24" si="58">C16/C15</f>
        <v>7.8202995008319481E-2</v>
      </c>
      <c r="D24" s="49">
        <f t="shared" si="58"/>
        <v>0.18930041152263347</v>
      </c>
      <c r="E24" s="36">
        <f t="shared" si="58"/>
        <v>0.11261261261261249</v>
      </c>
      <c r="F24" s="49">
        <f t="shared" si="58"/>
        <v>5.1063829787234227E-2</v>
      </c>
      <c r="G24" s="36">
        <f t="shared" si="58"/>
        <v>0.10609037328094297</v>
      </c>
      <c r="H24" s="49">
        <f t="shared" si="58"/>
        <v>-0.41666666666666635</v>
      </c>
      <c r="I24" s="36">
        <f t="shared" si="58"/>
        <v>0.1243523316062177</v>
      </c>
      <c r="J24" s="49">
        <f t="shared" si="58"/>
        <v>0.22222222222222138</v>
      </c>
      <c r="K24" s="36">
        <f>K16/K15</f>
        <v>0.16666666666666649</v>
      </c>
      <c r="L24" s="49">
        <f>L16/L15</f>
        <v>-1.9215987701767863E-2</v>
      </c>
      <c r="P24" s="36">
        <f t="shared" ref="P24:AG24" si="59">P16/P15</f>
        <v>0.12787488500459976</v>
      </c>
      <c r="Q24" s="36">
        <f t="shared" si="59"/>
        <v>8.1677704194260653E-2</v>
      </c>
      <c r="R24" s="36">
        <f t="shared" si="59"/>
        <v>0.57677902621722732</v>
      </c>
      <c r="S24" s="36">
        <f t="shared" si="59"/>
        <v>0.15252152521525206</v>
      </c>
      <c r="T24" s="36">
        <f t="shared" si="59"/>
        <v>-4.2350907519446847E-2</v>
      </c>
      <c r="U24" s="92">
        <f t="shared" si="59"/>
        <v>5.9483089770362154</v>
      </c>
      <c r="V24" s="36">
        <f t="shared" si="59"/>
        <v>0.11380745147865538</v>
      </c>
      <c r="W24" s="36">
        <f t="shared" si="59"/>
        <v>0.10821588926030676</v>
      </c>
      <c r="X24" s="36">
        <f t="shared" si="59"/>
        <v>0.10320012211222181</v>
      </c>
      <c r="Y24" s="36">
        <f t="shared" si="59"/>
        <v>9.867561435093232E-2</v>
      </c>
      <c r="Z24" s="36">
        <f t="shared" si="59"/>
        <v>9.4573611136589741E-2</v>
      </c>
      <c r="AA24" s="36">
        <f t="shared" si="59"/>
        <v>9.0837620134285008E-2</v>
      </c>
      <c r="AB24" s="36">
        <f t="shared" si="59"/>
        <v>8.7420794293307888E-2</v>
      </c>
      <c r="AC24" s="36">
        <f t="shared" si="59"/>
        <v>8.4283957507313767E-2</v>
      </c>
      <c r="AD24" s="36">
        <f t="shared" si="59"/>
        <v>8.1394096168098604E-2</v>
      </c>
      <c r="AE24" s="36">
        <f t="shared" si="59"/>
        <v>7.8723193204428929E-2</v>
      </c>
      <c r="AF24" s="36">
        <f t="shared" si="59"/>
        <v>7.6247317194253497E-2</v>
      </c>
      <c r="AG24" s="36">
        <f t="shared" si="59"/>
        <v>7.3945903738683538E-2</v>
      </c>
      <c r="AJ24" s="67" t="s">
        <v>123</v>
      </c>
      <c r="AK24" s="61">
        <f>AK22+AK23</f>
        <v>2424.7604599589336</v>
      </c>
    </row>
    <row r="25" spans="2:85" x14ac:dyDescent="0.25">
      <c r="D25" s="31"/>
      <c r="F25" s="31"/>
      <c r="H25" s="31"/>
      <c r="J25" s="31"/>
      <c r="L25" s="31"/>
      <c r="AJ25" s="68" t="s">
        <v>124</v>
      </c>
      <c r="AK25" s="62">
        <f>AK24/Main!C7</f>
        <v>5.6847680653681101</v>
      </c>
    </row>
    <row r="26" spans="2:85" x14ac:dyDescent="0.25">
      <c r="B26" s="24" t="s">
        <v>65</v>
      </c>
      <c r="C26" s="83" t="s">
        <v>148</v>
      </c>
      <c r="D26" s="84" t="s">
        <v>148</v>
      </c>
      <c r="E26" s="41">
        <f t="shared" ref="E26:K26" si="60">E3/C3-1</f>
        <v>-2.3247622402254198E-2</v>
      </c>
      <c r="F26" s="53">
        <f t="shared" si="60"/>
        <v>0.10245422672380178</v>
      </c>
      <c r="G26" s="41">
        <f t="shared" si="60"/>
        <v>0.36711143166245952</v>
      </c>
      <c r="H26" s="53">
        <f t="shared" si="60"/>
        <v>0.66289752650176714</v>
      </c>
      <c r="I26" s="41">
        <f t="shared" si="60"/>
        <v>0.39382748615141105</v>
      </c>
      <c r="J26" s="53">
        <f t="shared" si="60"/>
        <v>-4.0161495962600879E-2</v>
      </c>
      <c r="K26" s="41">
        <f t="shared" si="60"/>
        <v>-0.37149886449659342</v>
      </c>
      <c r="L26" s="53">
        <f>L3/J3-1</f>
        <v>1.0073057338941771</v>
      </c>
      <c r="M26" s="24"/>
      <c r="N26" s="24"/>
      <c r="O26" s="24"/>
      <c r="P26" s="30" t="s">
        <v>148</v>
      </c>
      <c r="Q26" s="41">
        <f>Q3/P3-1</f>
        <v>3.6440991490935826E-2</v>
      </c>
      <c r="R26" s="41">
        <f>R3/Q3-1</f>
        <v>0.51650901302873486</v>
      </c>
      <c r="S26" s="41">
        <f>S3/R3-1</f>
        <v>0.15346592915146529</v>
      </c>
      <c r="T26" s="41">
        <f t="shared" ref="T26" si="61">T3/S3-1</f>
        <v>0.26395265789205169</v>
      </c>
      <c r="U26" s="93">
        <f>U3/T3-1</f>
        <v>0.14999999999999991</v>
      </c>
      <c r="V26" s="41">
        <f t="shared" ref="V26:W26" si="62">V3/U3-1</f>
        <v>0.12000000000000011</v>
      </c>
      <c r="W26" s="41">
        <f t="shared" si="62"/>
        <v>5.0000000000000044E-2</v>
      </c>
      <c r="X26" s="41">
        <f t="shared" ref="X26" si="63">X3/W3-1</f>
        <v>5.0000000000000044E-2</v>
      </c>
      <c r="Y26" s="41">
        <f t="shared" ref="Y26" si="64">Y3/X3-1</f>
        <v>5.0000000000000044E-2</v>
      </c>
      <c r="Z26" s="41">
        <f t="shared" ref="Z26" si="65">Z3/Y3-1</f>
        <v>5.0000000000000044E-2</v>
      </c>
      <c r="AA26" s="41">
        <f t="shared" ref="AA26" si="66">AA3/Z3-1</f>
        <v>5.0000000000000044E-2</v>
      </c>
      <c r="AB26" s="41">
        <f t="shared" ref="AB26" si="67">AB3/AA3-1</f>
        <v>5.0000000000000044E-2</v>
      </c>
      <c r="AC26" s="41">
        <f t="shared" ref="AC26" si="68">AC3/AB3-1</f>
        <v>5.0000000000000044E-2</v>
      </c>
      <c r="AD26" s="41">
        <f t="shared" ref="AD26" si="69">AD3/AC3-1</f>
        <v>5.0000000000000044E-2</v>
      </c>
      <c r="AE26" s="41">
        <f t="shared" ref="AE26" si="70">AE3/AD3-1</f>
        <v>5.0000000000000044E-2</v>
      </c>
      <c r="AF26" s="41">
        <f t="shared" ref="AF26" si="71">AF3/AE3-1</f>
        <v>5.0000000000000044E-2</v>
      </c>
      <c r="AG26" s="41">
        <f t="shared" ref="AG26" si="72">AG3/AF3-1</f>
        <v>5.0000000000000044E-2</v>
      </c>
      <c r="AJ26" s="67" t="s">
        <v>125</v>
      </c>
      <c r="AK26" s="62">
        <f>Main!C6</f>
        <v>0.75</v>
      </c>
    </row>
    <row r="27" spans="2:85" x14ac:dyDescent="0.25">
      <c r="B27" t="s">
        <v>66</v>
      </c>
      <c r="C27" s="83" t="s">
        <v>148</v>
      </c>
      <c r="D27" s="49">
        <f t="shared" ref="D27:K27" si="73">D3/C3-1</f>
        <v>-9.580838323353269E-2</v>
      </c>
      <c r="E27" s="51">
        <f t="shared" si="73"/>
        <v>8.0249318270354308E-2</v>
      </c>
      <c r="F27" s="49">
        <f t="shared" si="73"/>
        <v>2.0555355210962523E-2</v>
      </c>
      <c r="G27" s="51">
        <f t="shared" si="73"/>
        <v>0.33957597173144904</v>
      </c>
      <c r="H27" s="49">
        <f t="shared" si="73"/>
        <v>0.2413611184384068</v>
      </c>
      <c r="I27" s="51">
        <f t="shared" si="73"/>
        <v>0.12282192945176362</v>
      </c>
      <c r="J27" s="49">
        <f t="shared" si="73"/>
        <v>-0.14515518546555628</v>
      </c>
      <c r="K27" s="51">
        <f t="shared" si="73"/>
        <v>-0.26477750719504101</v>
      </c>
      <c r="L27" s="49">
        <f>L3/K3-1</f>
        <v>1.7302017464619088</v>
      </c>
      <c r="P27" s="30" t="s">
        <v>148</v>
      </c>
      <c r="Q27" s="30" t="s">
        <v>148</v>
      </c>
      <c r="R27" s="30" t="s">
        <v>148</v>
      </c>
      <c r="S27" s="130" t="s">
        <v>148</v>
      </c>
      <c r="T27" s="130" t="s">
        <v>148</v>
      </c>
      <c r="AJ27" s="69" t="s">
        <v>126</v>
      </c>
      <c r="AK27" s="63">
        <f>AK25/AK26-1</f>
        <v>6.5796907538241465</v>
      </c>
    </row>
    <row r="28" spans="2:85" x14ac:dyDescent="0.25">
      <c r="C28" s="51"/>
      <c r="D28" s="49"/>
      <c r="E28" s="51"/>
      <c r="F28" s="49"/>
      <c r="G28" s="51"/>
      <c r="H28" s="49"/>
      <c r="I28" s="51"/>
      <c r="J28" s="49"/>
      <c r="L28" s="31"/>
    </row>
    <row r="29" spans="2:85" x14ac:dyDescent="0.25">
      <c r="B29" t="s">
        <v>133</v>
      </c>
      <c r="C29" s="70">
        <v>1.3208</v>
      </c>
      <c r="D29" s="71">
        <v>1.2694000000000001</v>
      </c>
      <c r="E29" s="70">
        <v>1.2677</v>
      </c>
      <c r="F29" s="71">
        <v>1.3112999999999999</v>
      </c>
      <c r="G29" s="70">
        <v>1.2311000000000001</v>
      </c>
      <c r="H29" s="71">
        <v>1.3631</v>
      </c>
      <c r="I29" s="70">
        <v>1.3843000000000001</v>
      </c>
      <c r="J29" s="71">
        <v>1.3498000000000001</v>
      </c>
      <c r="K29" s="70">
        <v>1.2132000000000001</v>
      </c>
      <c r="L29" s="31">
        <f>T29</f>
        <v>1.2056</v>
      </c>
      <c r="P29">
        <v>1.2694000000000001</v>
      </c>
      <c r="Q29">
        <v>1.3112999999999999</v>
      </c>
      <c r="R29">
        <v>1.3631</v>
      </c>
      <c r="S29">
        <v>1.3498000000000001</v>
      </c>
      <c r="T29">
        <v>1.2056</v>
      </c>
    </row>
    <row r="30" spans="2:85" x14ac:dyDescent="0.25">
      <c r="B30" t="s">
        <v>157</v>
      </c>
      <c r="C30" s="83" t="s">
        <v>148</v>
      </c>
      <c r="D30" s="49">
        <f t="shared" ref="D30:K30" si="74">D29/C29-1</f>
        <v>-3.8915808600847868E-2</v>
      </c>
      <c r="E30" s="36">
        <f t="shared" si="74"/>
        <v>-1.3392153773436055E-3</v>
      </c>
      <c r="F30" s="49">
        <f t="shared" si="74"/>
        <v>3.4392995188135878E-2</v>
      </c>
      <c r="G30" s="36">
        <f t="shared" si="74"/>
        <v>-6.116068024098209E-2</v>
      </c>
      <c r="H30" s="49">
        <f t="shared" si="74"/>
        <v>0.10722118430671745</v>
      </c>
      <c r="I30" s="36">
        <f t="shared" si="74"/>
        <v>1.5552784095077543E-2</v>
      </c>
      <c r="J30" s="49">
        <f>J29/I29-1</f>
        <v>-2.4922343422668525E-2</v>
      </c>
      <c r="K30" s="36">
        <f t="shared" si="74"/>
        <v>-0.10120017780411916</v>
      </c>
      <c r="L30" s="49">
        <f>L29/K29-1</f>
        <v>-6.2644246620507937E-3</v>
      </c>
      <c r="P30" s="83" t="s">
        <v>148</v>
      </c>
      <c r="Q30" s="36">
        <f t="shared" ref="Q30:R30" si="75">Q29/P29-1</f>
        <v>3.3007720182763434E-2</v>
      </c>
      <c r="R30" s="36">
        <f t="shared" si="75"/>
        <v>3.9502783497292748E-2</v>
      </c>
      <c r="S30" s="36">
        <f>S29/R29-1</f>
        <v>-9.7571711539871098E-3</v>
      </c>
      <c r="T30" s="36">
        <f>T29/S29-1</f>
        <v>-0.10683064157652988</v>
      </c>
    </row>
    <row r="31" spans="2:85" x14ac:dyDescent="0.25">
      <c r="D31" s="31"/>
      <c r="F31" s="31"/>
      <c r="H31" s="56"/>
      <c r="J31" s="31"/>
      <c r="L31" s="31"/>
    </row>
    <row r="32" spans="2:85" x14ac:dyDescent="0.25">
      <c r="B32" s="38" t="s">
        <v>87</v>
      </c>
      <c r="D32" s="31"/>
      <c r="F32" s="31"/>
      <c r="H32" s="56"/>
      <c r="J32" s="31"/>
      <c r="L32" s="31"/>
    </row>
    <row r="33" spans="2:21" x14ac:dyDescent="0.25">
      <c r="B33" t="s">
        <v>89</v>
      </c>
      <c r="C33">
        <v>160.19999999999999</v>
      </c>
      <c r="D33" s="31">
        <f t="shared" ref="D33:D39" si="76">P33</f>
        <v>200.3</v>
      </c>
      <c r="E33">
        <v>242</v>
      </c>
      <c r="F33" s="31">
        <f t="shared" ref="F33:F39" si="77">Q33</f>
        <v>240.4</v>
      </c>
      <c r="G33">
        <v>241.5</v>
      </c>
      <c r="H33" s="56">
        <f t="shared" ref="H33:H39" si="78">R33</f>
        <v>164.3</v>
      </c>
      <c r="I33">
        <v>167</v>
      </c>
      <c r="J33" s="31">
        <f t="shared" ref="J33:J39" si="79">S33</f>
        <v>167.2</v>
      </c>
      <c r="K33">
        <v>92.5</v>
      </c>
      <c r="L33" s="31"/>
      <c r="P33">
        <v>200.3</v>
      </c>
      <c r="Q33">
        <v>240.4</v>
      </c>
      <c r="R33">
        <v>164.3</v>
      </c>
      <c r="S33">
        <v>167.2</v>
      </c>
      <c r="T33" s="59">
        <v>2197</v>
      </c>
    </row>
    <row r="34" spans="2:21" x14ac:dyDescent="0.25">
      <c r="B34" t="s">
        <v>90</v>
      </c>
      <c r="C34">
        <v>0</v>
      </c>
      <c r="D34" s="31">
        <f t="shared" si="76"/>
        <v>0</v>
      </c>
      <c r="E34">
        <v>26.1</v>
      </c>
      <c r="F34" s="31">
        <f t="shared" si="77"/>
        <v>33.299999999999997</v>
      </c>
      <c r="G34">
        <v>31.6</v>
      </c>
      <c r="H34" s="56">
        <f t="shared" si="78"/>
        <v>28.5</v>
      </c>
      <c r="I34">
        <v>27.8</v>
      </c>
      <c r="J34" s="31">
        <f t="shared" si="79"/>
        <v>25.3</v>
      </c>
      <c r="K34">
        <v>16.3</v>
      </c>
      <c r="L34" s="31"/>
      <c r="P34">
        <v>0</v>
      </c>
      <c r="Q34">
        <v>33.299999999999997</v>
      </c>
      <c r="R34">
        <v>28.5</v>
      </c>
      <c r="S34">
        <v>25.3</v>
      </c>
      <c r="T34" s="59">
        <v>81.900000000000006</v>
      </c>
    </row>
    <row r="35" spans="2:21" x14ac:dyDescent="0.25">
      <c r="B35" t="s">
        <v>91</v>
      </c>
      <c r="C35">
        <v>8.4</v>
      </c>
      <c r="D35" s="31">
        <f t="shared" si="76"/>
        <v>11</v>
      </c>
      <c r="E35">
        <v>13.4</v>
      </c>
      <c r="F35" s="31">
        <f t="shared" si="77"/>
        <v>13</v>
      </c>
      <c r="G35">
        <v>15.5</v>
      </c>
      <c r="H35" s="56">
        <f t="shared" si="78"/>
        <v>15.1</v>
      </c>
      <c r="I35">
        <v>15</v>
      </c>
      <c r="J35" s="31">
        <f t="shared" si="79"/>
        <v>12.6</v>
      </c>
      <c r="K35">
        <v>11.3</v>
      </c>
      <c r="L35" s="31"/>
      <c r="P35">
        <v>11</v>
      </c>
      <c r="Q35">
        <v>13</v>
      </c>
      <c r="R35">
        <v>15.1</v>
      </c>
      <c r="S35">
        <v>12.6</v>
      </c>
      <c r="T35" s="59">
        <v>110.4</v>
      </c>
    </row>
    <row r="36" spans="2:21" x14ac:dyDescent="0.25">
      <c r="B36" t="s">
        <v>111</v>
      </c>
      <c r="C36">
        <v>1.2</v>
      </c>
      <c r="D36" s="31">
        <f t="shared" si="76"/>
        <v>1.1000000000000001</v>
      </c>
      <c r="E36">
        <v>1.1000000000000001</v>
      </c>
      <c r="F36" s="31">
        <f t="shared" si="77"/>
        <v>0.6</v>
      </c>
      <c r="G36">
        <v>0.2</v>
      </c>
      <c r="H36" s="56">
        <f t="shared" si="78"/>
        <v>0</v>
      </c>
      <c r="I36">
        <v>0</v>
      </c>
      <c r="J36" s="31">
        <f t="shared" si="79"/>
        <v>0</v>
      </c>
      <c r="K36">
        <v>0</v>
      </c>
      <c r="L36" s="31"/>
      <c r="P36">
        <v>1.1000000000000001</v>
      </c>
      <c r="Q36">
        <v>0.6</v>
      </c>
      <c r="R36">
        <v>0</v>
      </c>
      <c r="S36">
        <v>0</v>
      </c>
      <c r="T36" s="59">
        <f>1.4+38.4</f>
        <v>39.799999999999997</v>
      </c>
    </row>
    <row r="37" spans="2:21" x14ac:dyDescent="0.25">
      <c r="B37" t="s">
        <v>92</v>
      </c>
      <c r="C37">
        <v>0.7</v>
      </c>
      <c r="D37" s="31">
        <f t="shared" si="76"/>
        <v>0.8</v>
      </c>
      <c r="E37">
        <v>0.8</v>
      </c>
      <c r="F37" s="31">
        <f t="shared" si="77"/>
        <v>0.9</v>
      </c>
      <c r="G37">
        <v>0.6</v>
      </c>
      <c r="H37" s="56">
        <f t="shared" si="78"/>
        <v>0.6</v>
      </c>
      <c r="I37">
        <v>0.5</v>
      </c>
      <c r="J37" s="31">
        <f t="shared" si="79"/>
        <v>7.8</v>
      </c>
      <c r="K37">
        <v>5.2</v>
      </c>
      <c r="L37" s="31"/>
      <c r="P37">
        <v>0.8</v>
      </c>
      <c r="Q37">
        <v>0.9</v>
      </c>
      <c r="R37">
        <v>0.6</v>
      </c>
      <c r="S37">
        <v>7.8</v>
      </c>
      <c r="T37" s="59">
        <v>6.2</v>
      </c>
    </row>
    <row r="38" spans="2:21" s="59" customFormat="1" x14ac:dyDescent="0.25">
      <c r="B38" s="59" t="s">
        <v>203</v>
      </c>
      <c r="C38" s="59">
        <v>0</v>
      </c>
      <c r="D38" s="81">
        <v>0</v>
      </c>
      <c r="E38" s="59">
        <v>0</v>
      </c>
      <c r="F38" s="81">
        <v>0</v>
      </c>
      <c r="G38" s="59">
        <v>0</v>
      </c>
      <c r="H38" s="145">
        <v>0</v>
      </c>
      <c r="I38" s="59">
        <v>0</v>
      </c>
      <c r="J38" s="81">
        <v>0</v>
      </c>
      <c r="K38" s="59">
        <v>0</v>
      </c>
      <c r="L38" s="81"/>
      <c r="P38" s="59">
        <v>0</v>
      </c>
      <c r="Q38" s="59">
        <v>0</v>
      </c>
      <c r="R38" s="59">
        <v>0</v>
      </c>
      <c r="S38" s="59">
        <v>0</v>
      </c>
      <c r="T38" s="59">
        <v>16.600000000000001</v>
      </c>
      <c r="U38" s="90"/>
    </row>
    <row r="39" spans="2:21" x14ac:dyDescent="0.25">
      <c r="B39" t="s">
        <v>93</v>
      </c>
      <c r="C39">
        <v>1.6</v>
      </c>
      <c r="D39" s="31">
        <f t="shared" si="76"/>
        <v>1.4</v>
      </c>
      <c r="E39">
        <v>1.8</v>
      </c>
      <c r="F39" s="31">
        <f t="shared" si="77"/>
        <v>2.8</v>
      </c>
      <c r="G39">
        <v>3</v>
      </c>
      <c r="H39" s="56">
        <f t="shared" si="78"/>
        <v>3.6</v>
      </c>
      <c r="I39">
        <v>3.3</v>
      </c>
      <c r="J39" s="31">
        <f t="shared" si="79"/>
        <v>3</v>
      </c>
      <c r="K39">
        <v>2.5</v>
      </c>
      <c r="L39" s="31"/>
      <c r="P39">
        <v>1.4</v>
      </c>
      <c r="Q39">
        <v>2.8</v>
      </c>
      <c r="R39">
        <v>3.6</v>
      </c>
      <c r="S39">
        <v>3</v>
      </c>
      <c r="T39" s="59">
        <v>5.2</v>
      </c>
    </row>
    <row r="40" spans="2:21" x14ac:dyDescent="0.25">
      <c r="B40" t="s">
        <v>88</v>
      </c>
      <c r="C40">
        <f t="shared" ref="C40:K40" si="80">SUM(C33:C39)</f>
        <v>172.09999999999997</v>
      </c>
      <c r="D40" s="31">
        <f t="shared" si="80"/>
        <v>214.60000000000002</v>
      </c>
      <c r="E40">
        <f t="shared" si="80"/>
        <v>285.20000000000005</v>
      </c>
      <c r="F40" s="31">
        <f t="shared" si="80"/>
        <v>291</v>
      </c>
      <c r="G40">
        <f t="shared" si="80"/>
        <v>292.40000000000003</v>
      </c>
      <c r="H40" s="31">
        <f t="shared" si="80"/>
        <v>212.1</v>
      </c>
      <c r="I40">
        <f t="shared" si="80"/>
        <v>213.60000000000002</v>
      </c>
      <c r="J40" s="31">
        <f t="shared" si="80"/>
        <v>215.9</v>
      </c>
      <c r="K40">
        <f t="shared" si="80"/>
        <v>127.8</v>
      </c>
      <c r="L40" s="31"/>
      <c r="P40">
        <f>SUM(P33:P39)</f>
        <v>214.60000000000002</v>
      </c>
      <c r="Q40">
        <f>SUM(Q33:Q39)</f>
        <v>291</v>
      </c>
      <c r="R40">
        <f>SUM(R33:R39)</f>
        <v>212.1</v>
      </c>
      <c r="S40">
        <f>SUM(S33:S39)</f>
        <v>215.9</v>
      </c>
      <c r="T40" s="59">
        <f>SUM(T33:T39)</f>
        <v>2457.1</v>
      </c>
    </row>
    <row r="41" spans="2:21" x14ac:dyDescent="0.25">
      <c r="B41" s="24" t="s">
        <v>3</v>
      </c>
      <c r="C41" s="24">
        <v>143.6</v>
      </c>
      <c r="D41" s="32">
        <f>P41</f>
        <v>133</v>
      </c>
      <c r="E41" s="24">
        <v>111</v>
      </c>
      <c r="F41" s="32">
        <f>Q41</f>
        <v>99.5</v>
      </c>
      <c r="G41" s="24">
        <v>141.30000000000001</v>
      </c>
      <c r="H41" s="57">
        <f>R41</f>
        <v>222.2</v>
      </c>
      <c r="I41" s="24">
        <v>192.9</v>
      </c>
      <c r="J41" s="32">
        <f>S41</f>
        <v>255.6</v>
      </c>
      <c r="K41" s="24">
        <v>299.5</v>
      </c>
      <c r="L41" s="32"/>
      <c r="M41" s="24"/>
      <c r="N41" s="24"/>
      <c r="O41" s="24"/>
      <c r="P41" s="24">
        <v>133</v>
      </c>
      <c r="Q41" s="24">
        <v>99.5</v>
      </c>
      <c r="R41" s="24">
        <v>222.2</v>
      </c>
      <c r="S41" s="24">
        <v>255.6</v>
      </c>
      <c r="T41" s="24">
        <v>317.60000000000002</v>
      </c>
    </row>
    <row r="42" spans="2:21" x14ac:dyDescent="0.25">
      <c r="B42" t="s">
        <v>94</v>
      </c>
      <c r="C42">
        <v>44.5</v>
      </c>
      <c r="D42" s="31">
        <f>P42</f>
        <v>33</v>
      </c>
      <c r="E42">
        <v>43.8</v>
      </c>
      <c r="F42" s="31">
        <f>Q42</f>
        <v>42.6</v>
      </c>
      <c r="G42">
        <v>61.9</v>
      </c>
      <c r="H42" s="56">
        <f>R42</f>
        <v>52.4</v>
      </c>
      <c r="I42">
        <v>98.4</v>
      </c>
      <c r="J42" s="31">
        <f>S42</f>
        <v>68.5</v>
      </c>
      <c r="K42">
        <v>63.4</v>
      </c>
      <c r="L42" s="31"/>
      <c r="P42">
        <v>33</v>
      </c>
      <c r="Q42">
        <v>42.6</v>
      </c>
      <c r="R42">
        <v>52.4</v>
      </c>
      <c r="S42">
        <v>68.5</v>
      </c>
      <c r="T42" s="59">
        <v>132.69999999999999</v>
      </c>
    </row>
    <row r="43" spans="2:21" s="59" customFormat="1" x14ac:dyDescent="0.25">
      <c r="B43" s="59" t="s">
        <v>204</v>
      </c>
      <c r="C43" s="59">
        <v>0</v>
      </c>
      <c r="D43" s="81">
        <v>0</v>
      </c>
      <c r="E43" s="59">
        <v>0</v>
      </c>
      <c r="F43" s="81">
        <v>0</v>
      </c>
      <c r="G43" s="59">
        <v>0</v>
      </c>
      <c r="H43" s="145">
        <v>0</v>
      </c>
      <c r="I43" s="59">
        <v>0</v>
      </c>
      <c r="J43" s="81">
        <v>0</v>
      </c>
      <c r="K43" s="59">
        <v>0</v>
      </c>
      <c r="L43" s="81"/>
      <c r="P43" s="59">
        <v>0</v>
      </c>
      <c r="Q43" s="59">
        <v>0</v>
      </c>
      <c r="R43" s="59">
        <v>0</v>
      </c>
      <c r="S43" s="59">
        <v>0</v>
      </c>
      <c r="T43" s="59">
        <v>35.200000000000003</v>
      </c>
      <c r="U43" s="90"/>
    </row>
    <row r="44" spans="2:21" s="58" customFormat="1" x14ac:dyDescent="0.25">
      <c r="B44" s="58" t="s">
        <v>203</v>
      </c>
      <c r="C44" s="58">
        <v>0</v>
      </c>
      <c r="D44" s="82">
        <v>0</v>
      </c>
      <c r="E44" s="58">
        <v>0</v>
      </c>
      <c r="F44" s="82">
        <v>0</v>
      </c>
      <c r="G44" s="58">
        <v>0</v>
      </c>
      <c r="H44" s="147">
        <v>0</v>
      </c>
      <c r="I44" s="58">
        <v>0</v>
      </c>
      <c r="J44" s="82">
        <v>0</v>
      </c>
      <c r="K44" s="58">
        <v>0</v>
      </c>
      <c r="L44" s="82"/>
      <c r="P44" s="58">
        <v>0</v>
      </c>
      <c r="Q44" s="58">
        <v>0</v>
      </c>
      <c r="R44" s="58">
        <v>0</v>
      </c>
      <c r="S44" s="58">
        <v>0</v>
      </c>
      <c r="T44" s="58">
        <v>2</v>
      </c>
      <c r="U44" s="89"/>
    </row>
    <row r="45" spans="2:21" x14ac:dyDescent="0.25">
      <c r="B45" t="s">
        <v>181</v>
      </c>
      <c r="C45">
        <v>0</v>
      </c>
      <c r="D45" s="31">
        <v>0</v>
      </c>
      <c r="E45">
        <v>0</v>
      </c>
      <c r="F45" s="31">
        <v>0</v>
      </c>
      <c r="G45">
        <v>0</v>
      </c>
      <c r="H45" s="56">
        <v>0</v>
      </c>
      <c r="I45">
        <v>0</v>
      </c>
      <c r="J45" s="31">
        <v>0</v>
      </c>
      <c r="K45">
        <v>39.200000000000003</v>
      </c>
      <c r="L45" s="31"/>
      <c r="P45">
        <v>0</v>
      </c>
      <c r="Q45">
        <v>0</v>
      </c>
      <c r="R45">
        <v>0</v>
      </c>
      <c r="S45">
        <v>0</v>
      </c>
      <c r="T45" s="59">
        <v>6.9</v>
      </c>
    </row>
    <row r="46" spans="2:21" s="59" customFormat="1" x14ac:dyDescent="0.25">
      <c r="B46" s="59" t="s">
        <v>95</v>
      </c>
      <c r="C46" s="59">
        <f t="shared" ref="C46" si="81">C42+C41+C40+C45+C43+C44</f>
        <v>360.19999999999993</v>
      </c>
      <c r="D46" s="81">
        <f t="shared" ref="D46:H46" si="82">D42+D41+D40</f>
        <v>380.6</v>
      </c>
      <c r="E46" s="59">
        <f t="shared" ref="E46" si="83">E42+E41+E40+E45+E43+E44</f>
        <v>440.00000000000006</v>
      </c>
      <c r="F46" s="81">
        <f t="shared" si="82"/>
        <v>433.1</v>
      </c>
      <c r="G46" s="59">
        <f t="shared" ref="G46" si="84">G42+G41+G40+G45+G43+G44</f>
        <v>495.6</v>
      </c>
      <c r="H46" s="145">
        <f t="shared" si="82"/>
        <v>486.69999999999993</v>
      </c>
      <c r="I46" s="59">
        <f t="shared" ref="I46" si="85">I42+I41+I40+I45+I43+I44</f>
        <v>504.90000000000003</v>
      </c>
      <c r="J46" s="81">
        <f>S46</f>
        <v>540</v>
      </c>
      <c r="K46" s="59">
        <f t="shared" ref="K46" si="86">K42+K41+K40+K45+K43+K44</f>
        <v>529.9</v>
      </c>
      <c r="L46" s="81"/>
      <c r="P46" s="59">
        <f t="shared" ref="P46:S46" si="87">P42+P41+P40+P45+P43+P44</f>
        <v>380.6</v>
      </c>
      <c r="Q46" s="59">
        <f t="shared" si="87"/>
        <v>433.1</v>
      </c>
      <c r="R46" s="59">
        <f t="shared" si="87"/>
        <v>486.69999999999993</v>
      </c>
      <c r="S46" s="59">
        <f t="shared" si="87"/>
        <v>540</v>
      </c>
      <c r="T46" s="59">
        <f>T42+T41+T40+T45+T43+T44</f>
        <v>2951.5</v>
      </c>
      <c r="U46" s="90"/>
    </row>
    <row r="47" spans="2:21" x14ac:dyDescent="0.25">
      <c r="D47" s="31"/>
      <c r="F47" s="31"/>
      <c r="H47" s="56"/>
      <c r="J47" s="31"/>
      <c r="L47" s="31"/>
    </row>
    <row r="48" spans="2:21" x14ac:dyDescent="0.25">
      <c r="B48" t="s">
        <v>96</v>
      </c>
      <c r="C48">
        <v>0</v>
      </c>
      <c r="D48" s="31">
        <f>P48</f>
        <v>0</v>
      </c>
      <c r="E48">
        <v>0</v>
      </c>
      <c r="F48" s="31">
        <f>Q48</f>
        <v>0</v>
      </c>
      <c r="G48">
        <v>0</v>
      </c>
      <c r="H48" s="56">
        <f>R48</f>
        <v>7.4</v>
      </c>
      <c r="I48">
        <v>5.9</v>
      </c>
      <c r="J48" s="31">
        <f>S48</f>
        <v>5</v>
      </c>
      <c r="K48">
        <v>2.2000000000000002</v>
      </c>
      <c r="L48" s="31"/>
      <c r="P48">
        <v>0</v>
      </c>
      <c r="Q48">
        <v>0</v>
      </c>
      <c r="R48">
        <v>7.4</v>
      </c>
      <c r="S48">
        <v>5</v>
      </c>
      <c r="T48" s="59">
        <v>1.2</v>
      </c>
    </row>
    <row r="49" spans="2:21" x14ac:dyDescent="0.25">
      <c r="B49" t="s">
        <v>205</v>
      </c>
      <c r="C49">
        <v>0</v>
      </c>
      <c r="D49" s="31">
        <v>0</v>
      </c>
      <c r="E49">
        <v>0</v>
      </c>
      <c r="F49" s="31">
        <v>0</v>
      </c>
      <c r="G49">
        <v>0</v>
      </c>
      <c r="H49" s="56">
        <v>0</v>
      </c>
      <c r="I49">
        <v>0</v>
      </c>
      <c r="J49" s="31">
        <v>0</v>
      </c>
      <c r="K49">
        <v>0</v>
      </c>
      <c r="L49" s="31"/>
      <c r="P49">
        <v>0</v>
      </c>
      <c r="Q49">
        <v>0</v>
      </c>
      <c r="R49">
        <v>0</v>
      </c>
      <c r="S49">
        <v>0</v>
      </c>
      <c r="T49" s="59">
        <v>1.2</v>
      </c>
    </row>
    <row r="50" spans="2:21" x14ac:dyDescent="0.25">
      <c r="B50" t="s">
        <v>100</v>
      </c>
      <c r="C50">
        <v>0</v>
      </c>
      <c r="D50" s="31">
        <v>0</v>
      </c>
      <c r="E50">
        <v>0</v>
      </c>
      <c r="F50" s="31">
        <v>0</v>
      </c>
      <c r="G50">
        <v>0</v>
      </c>
      <c r="H50" s="56">
        <v>0</v>
      </c>
      <c r="I50">
        <v>0</v>
      </c>
      <c r="J50" s="31">
        <v>0</v>
      </c>
      <c r="K50">
        <v>0</v>
      </c>
      <c r="L50" s="31"/>
      <c r="P50">
        <v>0</v>
      </c>
      <c r="Q50">
        <v>0</v>
      </c>
      <c r="R50">
        <v>0</v>
      </c>
      <c r="S50">
        <v>0</v>
      </c>
      <c r="T50" s="59">
        <v>86.2</v>
      </c>
    </row>
    <row r="51" spans="2:21" x14ac:dyDescent="0.25">
      <c r="B51" t="s">
        <v>93</v>
      </c>
      <c r="C51">
        <v>0</v>
      </c>
      <c r="D51" s="31">
        <f>P51</f>
        <v>2.2999999999999998</v>
      </c>
      <c r="E51">
        <v>0</v>
      </c>
      <c r="F51" s="31">
        <f>Q51</f>
        <v>4</v>
      </c>
      <c r="G51">
        <v>3.6</v>
      </c>
      <c r="H51" s="56">
        <f>R51</f>
        <v>3.3</v>
      </c>
      <c r="I51">
        <v>2.8</v>
      </c>
      <c r="J51" s="31">
        <f>S51</f>
        <v>2.6</v>
      </c>
      <c r="K51">
        <v>1.5</v>
      </c>
      <c r="L51" s="31"/>
      <c r="P51">
        <v>2.2999999999999998</v>
      </c>
      <c r="Q51">
        <v>4</v>
      </c>
      <c r="R51">
        <v>3.3</v>
      </c>
      <c r="S51">
        <v>2.6</v>
      </c>
      <c r="T51" s="59">
        <v>220.4</v>
      </c>
    </row>
    <row r="52" spans="2:21" x14ac:dyDescent="0.25">
      <c r="B52" t="s">
        <v>97</v>
      </c>
      <c r="C52">
        <v>0</v>
      </c>
      <c r="D52" s="31">
        <f>P52</f>
        <v>0</v>
      </c>
      <c r="E52">
        <v>0</v>
      </c>
      <c r="F52" s="31">
        <f>Q52</f>
        <v>0</v>
      </c>
      <c r="G52">
        <v>27.2</v>
      </c>
      <c r="H52" s="56">
        <f>R52</f>
        <v>26.7</v>
      </c>
      <c r="I52">
        <v>26</v>
      </c>
      <c r="J52" s="31">
        <f>S52</f>
        <v>24.4</v>
      </c>
      <c r="K52">
        <v>14.4</v>
      </c>
      <c r="L52" s="31"/>
      <c r="P52">
        <v>0</v>
      </c>
      <c r="Q52">
        <v>0</v>
      </c>
      <c r="R52">
        <v>26.7</v>
      </c>
      <c r="S52">
        <v>24.4</v>
      </c>
      <c r="T52" s="59">
        <v>65</v>
      </c>
    </row>
    <row r="53" spans="2:21" s="24" customFormat="1" x14ac:dyDescent="0.25">
      <c r="B53" s="24" t="s">
        <v>110</v>
      </c>
      <c r="C53" s="24">
        <v>0</v>
      </c>
      <c r="D53" s="32">
        <f>P53</f>
        <v>0</v>
      </c>
      <c r="E53" s="24">
        <v>21.6</v>
      </c>
      <c r="F53" s="32">
        <f>Q53</f>
        <v>28.8</v>
      </c>
      <c r="G53" s="24">
        <v>0</v>
      </c>
      <c r="H53" s="57">
        <f>R53</f>
        <v>0</v>
      </c>
      <c r="I53" s="24">
        <v>0</v>
      </c>
      <c r="J53" s="32">
        <f>S53</f>
        <v>0</v>
      </c>
      <c r="K53" s="24">
        <v>0</v>
      </c>
      <c r="L53" s="32"/>
      <c r="P53" s="24">
        <v>0</v>
      </c>
      <c r="Q53" s="24">
        <v>28.8</v>
      </c>
      <c r="R53" s="24">
        <v>0</v>
      </c>
      <c r="S53" s="24">
        <v>0</v>
      </c>
      <c r="T53" s="58">
        <v>1697.5</v>
      </c>
      <c r="U53" s="94"/>
    </row>
    <row r="54" spans="2:21" s="24" customFormat="1" x14ac:dyDescent="0.25">
      <c r="B54" s="24" t="s">
        <v>203</v>
      </c>
      <c r="C54" s="24">
        <v>0</v>
      </c>
      <c r="D54" s="32">
        <v>0</v>
      </c>
      <c r="E54" s="24">
        <v>0</v>
      </c>
      <c r="F54" s="32">
        <v>0</v>
      </c>
      <c r="G54" s="24">
        <v>0</v>
      </c>
      <c r="H54" s="57">
        <v>0</v>
      </c>
      <c r="I54" s="24">
        <v>0</v>
      </c>
      <c r="J54" s="32">
        <v>0</v>
      </c>
      <c r="K54" s="24">
        <v>0</v>
      </c>
      <c r="L54" s="32"/>
      <c r="P54" s="24">
        <v>0</v>
      </c>
      <c r="Q54" s="24">
        <v>0</v>
      </c>
      <c r="R54" s="24">
        <v>0</v>
      </c>
      <c r="S54" s="24">
        <v>0</v>
      </c>
      <c r="T54" s="58">
        <v>17.399999999999999</v>
      </c>
      <c r="U54" s="94"/>
    </row>
    <row r="55" spans="2:21" x14ac:dyDescent="0.25">
      <c r="B55" t="s">
        <v>98</v>
      </c>
      <c r="C55">
        <f>SUM(C48:C54)</f>
        <v>0</v>
      </c>
      <c r="D55" s="31">
        <f>P55</f>
        <v>2.2999999999999998</v>
      </c>
      <c r="E55">
        <f>SUM(E48:E54)</f>
        <v>21.6</v>
      </c>
      <c r="F55" s="31">
        <f>Q55</f>
        <v>32.799999999999997</v>
      </c>
      <c r="G55">
        <f>SUM(G48:G54)</f>
        <v>30.8</v>
      </c>
      <c r="H55" s="56">
        <f>SUM(H48:H53)</f>
        <v>37.4</v>
      </c>
      <c r="I55">
        <f>SUM(I48:I54)</f>
        <v>34.700000000000003</v>
      </c>
      <c r="J55" s="112">
        <f>S55</f>
        <v>32</v>
      </c>
      <c r="K55">
        <f>SUM(K48:K54)</f>
        <v>18.100000000000001</v>
      </c>
      <c r="L55" s="31"/>
      <c r="P55">
        <f>SUM(P48:P54)</f>
        <v>2.2999999999999998</v>
      </c>
      <c r="Q55">
        <f>SUM(Q48:Q54)</f>
        <v>32.799999999999997</v>
      </c>
      <c r="R55">
        <f>SUM(R48:R54)</f>
        <v>37.4</v>
      </c>
      <c r="S55">
        <f>SUM(S48:S54)</f>
        <v>32</v>
      </c>
      <c r="T55" s="59">
        <f>SUM(T48:T54)</f>
        <v>2088.9</v>
      </c>
    </row>
    <row r="56" spans="2:21" x14ac:dyDescent="0.25">
      <c r="D56" s="31"/>
      <c r="F56" s="31"/>
      <c r="H56" s="56"/>
      <c r="J56" s="31"/>
      <c r="L56" s="31"/>
      <c r="T56" s="59"/>
    </row>
    <row r="57" spans="2:21" x14ac:dyDescent="0.25">
      <c r="B57" t="s">
        <v>99</v>
      </c>
      <c r="C57">
        <v>125.6</v>
      </c>
      <c r="D57" s="31">
        <f t="shared" ref="D57:D66" si="88">P57</f>
        <v>136</v>
      </c>
      <c r="E57">
        <v>140.5</v>
      </c>
      <c r="F57" s="31">
        <f t="shared" ref="F57:F66" si="89">Q57</f>
        <v>130.9</v>
      </c>
      <c r="G57">
        <v>159.9</v>
      </c>
      <c r="H57" s="56">
        <f t="shared" ref="H57:H64" si="90">R57</f>
        <v>177.9</v>
      </c>
      <c r="I57">
        <v>176.4</v>
      </c>
      <c r="J57" s="31">
        <f t="shared" ref="J57:J66" si="91">S57</f>
        <v>196.1</v>
      </c>
      <c r="K57">
        <v>128.30000000000001</v>
      </c>
      <c r="L57" s="31"/>
      <c r="P57">
        <v>136</v>
      </c>
      <c r="Q57">
        <v>130.9</v>
      </c>
      <c r="R57">
        <v>177.9</v>
      </c>
      <c r="S57">
        <v>196.1</v>
      </c>
      <c r="T57" s="59">
        <v>368</v>
      </c>
    </row>
    <row r="58" spans="2:21" x14ac:dyDescent="0.25">
      <c r="B58" t="s">
        <v>100</v>
      </c>
      <c r="C58">
        <v>28.3</v>
      </c>
      <c r="D58" s="31">
        <f t="shared" si="88"/>
        <v>11.3</v>
      </c>
      <c r="E58">
        <v>10.9</v>
      </c>
      <c r="F58" s="31">
        <f t="shared" si="89"/>
        <v>10.199999999999999</v>
      </c>
      <c r="G58">
        <v>14.4</v>
      </c>
      <c r="H58" s="56">
        <f t="shared" si="90"/>
        <v>19.3</v>
      </c>
      <c r="I58">
        <v>21.9</v>
      </c>
      <c r="J58" s="31">
        <f t="shared" si="91"/>
        <v>25.7</v>
      </c>
      <c r="K58">
        <v>8.5</v>
      </c>
      <c r="L58" s="31"/>
      <c r="P58">
        <v>11.3</v>
      </c>
      <c r="Q58">
        <v>10.199999999999999</v>
      </c>
      <c r="R58">
        <v>19.3</v>
      </c>
      <c r="S58">
        <v>25.7</v>
      </c>
      <c r="T58" s="59">
        <v>111.5</v>
      </c>
    </row>
    <row r="59" spans="2:21" s="24" customFormat="1" x14ac:dyDescent="0.25">
      <c r="B59" s="24" t="s">
        <v>203</v>
      </c>
      <c r="C59" s="24">
        <v>0</v>
      </c>
      <c r="D59" s="32">
        <v>0</v>
      </c>
      <c r="E59" s="24">
        <v>0</v>
      </c>
      <c r="F59" s="32">
        <v>0</v>
      </c>
      <c r="G59" s="24">
        <v>0</v>
      </c>
      <c r="H59" s="57">
        <v>0</v>
      </c>
      <c r="I59" s="24">
        <v>0</v>
      </c>
      <c r="J59" s="32">
        <v>0</v>
      </c>
      <c r="K59" s="24">
        <v>0</v>
      </c>
      <c r="L59" s="32"/>
      <c r="P59" s="24">
        <v>0</v>
      </c>
      <c r="Q59" s="24">
        <v>0</v>
      </c>
      <c r="R59" s="24">
        <v>0</v>
      </c>
      <c r="S59" s="24">
        <v>0</v>
      </c>
      <c r="T59" s="58">
        <v>20.8</v>
      </c>
      <c r="U59" s="94"/>
    </row>
    <row r="60" spans="2:21" x14ac:dyDescent="0.25">
      <c r="B60" t="s">
        <v>101</v>
      </c>
      <c r="C60">
        <v>6</v>
      </c>
      <c r="D60" s="31">
        <f t="shared" si="88"/>
        <v>11.4</v>
      </c>
      <c r="E60">
        <f>11.4+4.1</f>
        <v>15.5</v>
      </c>
      <c r="F60" s="31">
        <f t="shared" si="89"/>
        <v>10.1</v>
      </c>
      <c r="G60">
        <v>13.2</v>
      </c>
      <c r="H60" s="56">
        <f t="shared" si="90"/>
        <v>20.7</v>
      </c>
      <c r="I60">
        <v>25</v>
      </c>
      <c r="J60" s="31">
        <f t="shared" si="91"/>
        <v>30.7</v>
      </c>
      <c r="K60">
        <v>2.1</v>
      </c>
      <c r="L60" s="31"/>
      <c r="P60">
        <v>11.4</v>
      </c>
      <c r="Q60">
        <v>10.1</v>
      </c>
      <c r="R60">
        <v>20.7</v>
      </c>
      <c r="S60">
        <v>30.7</v>
      </c>
      <c r="T60" s="59">
        <v>33</v>
      </c>
    </row>
    <row r="61" spans="2:21" x14ac:dyDescent="0.25">
      <c r="B61" t="s">
        <v>97</v>
      </c>
      <c r="C61">
        <v>0</v>
      </c>
      <c r="D61" s="31">
        <f t="shared" si="88"/>
        <v>0</v>
      </c>
      <c r="E61">
        <v>0</v>
      </c>
      <c r="F61" s="31">
        <f t="shared" si="89"/>
        <v>0</v>
      </c>
      <c r="G61">
        <v>6.3</v>
      </c>
      <c r="H61" s="56">
        <f t="shared" si="90"/>
        <v>7</v>
      </c>
      <c r="I61">
        <v>6.9</v>
      </c>
      <c r="J61" s="31">
        <f t="shared" si="91"/>
        <v>6.5</v>
      </c>
      <c r="K61">
        <v>4.5999999999999996</v>
      </c>
      <c r="L61" s="31"/>
      <c r="P61">
        <v>0</v>
      </c>
      <c r="Q61">
        <v>0</v>
      </c>
      <c r="R61">
        <v>7</v>
      </c>
      <c r="S61">
        <v>6.5</v>
      </c>
      <c r="T61" s="59">
        <v>24</v>
      </c>
    </row>
    <row r="62" spans="2:21" s="24" customFormat="1" x14ac:dyDescent="0.25">
      <c r="B62" s="24" t="s">
        <v>110</v>
      </c>
      <c r="C62" s="24">
        <v>0</v>
      </c>
      <c r="D62" s="32">
        <f t="shared" si="88"/>
        <v>0</v>
      </c>
      <c r="E62" s="24">
        <v>37.6</v>
      </c>
      <c r="F62" s="32">
        <f t="shared" si="89"/>
        <v>23.7</v>
      </c>
      <c r="G62" s="24">
        <v>0</v>
      </c>
      <c r="H62" s="57">
        <f t="shared" si="90"/>
        <v>0</v>
      </c>
      <c r="I62" s="24">
        <v>0</v>
      </c>
      <c r="J62" s="32">
        <f t="shared" si="91"/>
        <v>0</v>
      </c>
      <c r="K62" s="24">
        <v>0</v>
      </c>
      <c r="L62" s="32"/>
      <c r="P62" s="24">
        <v>0</v>
      </c>
      <c r="Q62" s="24">
        <v>23.7</v>
      </c>
      <c r="R62" s="24">
        <v>0</v>
      </c>
      <c r="S62" s="24">
        <v>0</v>
      </c>
      <c r="T62" s="58">
        <v>4.8</v>
      </c>
      <c r="U62" s="94"/>
    </row>
    <row r="63" spans="2:21" x14ac:dyDescent="0.25">
      <c r="B63" t="s">
        <v>96</v>
      </c>
      <c r="C63">
        <v>2.9</v>
      </c>
      <c r="D63" s="31">
        <f t="shared" si="88"/>
        <v>2.2000000000000002</v>
      </c>
      <c r="E63">
        <v>4</v>
      </c>
      <c r="F63" s="31">
        <f t="shared" si="89"/>
        <v>6</v>
      </c>
      <c r="G63">
        <v>5.9</v>
      </c>
      <c r="H63" s="56">
        <f t="shared" si="90"/>
        <v>0</v>
      </c>
      <c r="I63">
        <v>0</v>
      </c>
      <c r="J63" s="31">
        <f t="shared" si="91"/>
        <v>0</v>
      </c>
      <c r="K63">
        <v>0</v>
      </c>
      <c r="L63" s="31"/>
      <c r="P63">
        <v>2.2000000000000002</v>
      </c>
      <c r="Q63">
        <v>6</v>
      </c>
      <c r="R63">
        <v>0</v>
      </c>
      <c r="S63">
        <v>0</v>
      </c>
      <c r="T63" s="59">
        <v>0</v>
      </c>
    </row>
    <row r="64" spans="2:21" x14ac:dyDescent="0.25">
      <c r="B64" s="24" t="s">
        <v>102</v>
      </c>
      <c r="C64" s="24">
        <v>65.599999999999994</v>
      </c>
      <c r="D64" s="32">
        <f t="shared" si="88"/>
        <v>57.1</v>
      </c>
      <c r="E64" s="24">
        <v>57.4</v>
      </c>
      <c r="F64" s="32">
        <f t="shared" si="89"/>
        <v>54.7</v>
      </c>
      <c r="G64" s="24">
        <v>63.9</v>
      </c>
      <c r="H64" s="57">
        <f t="shared" si="90"/>
        <v>74</v>
      </c>
      <c r="I64" s="24">
        <v>78.5</v>
      </c>
      <c r="J64" s="32">
        <f t="shared" si="91"/>
        <v>81.099999999999994</v>
      </c>
      <c r="K64" s="24">
        <v>53.1</v>
      </c>
      <c r="L64" s="32"/>
      <c r="M64" s="24"/>
      <c r="N64" s="24"/>
      <c r="O64" s="24"/>
      <c r="P64" s="24">
        <v>57.1</v>
      </c>
      <c r="Q64" s="24">
        <v>54.7</v>
      </c>
      <c r="R64" s="24">
        <v>74</v>
      </c>
      <c r="S64" s="24">
        <v>81.099999999999994</v>
      </c>
      <c r="T64" s="58">
        <v>141.30000000000001</v>
      </c>
    </row>
    <row r="65" spans="1:21" x14ac:dyDescent="0.25">
      <c r="B65" t="s">
        <v>182</v>
      </c>
      <c r="C65">
        <v>0</v>
      </c>
      <c r="D65" s="31">
        <v>0</v>
      </c>
      <c r="E65">
        <v>0</v>
      </c>
      <c r="F65" s="31">
        <v>0</v>
      </c>
      <c r="G65">
        <v>0</v>
      </c>
      <c r="H65" s="56">
        <v>0</v>
      </c>
      <c r="I65">
        <v>0</v>
      </c>
      <c r="J65" s="31">
        <v>0</v>
      </c>
      <c r="K65">
        <v>2.6</v>
      </c>
      <c r="L65" s="31"/>
      <c r="P65">
        <v>0</v>
      </c>
      <c r="Q65">
        <v>0</v>
      </c>
      <c r="R65">
        <v>0</v>
      </c>
      <c r="S65">
        <v>0</v>
      </c>
      <c r="T65" s="59">
        <v>0</v>
      </c>
    </row>
    <row r="66" spans="1:21" x14ac:dyDescent="0.25">
      <c r="B66" t="s">
        <v>105</v>
      </c>
      <c r="C66">
        <f>C63+C62+C64+C61+C60+C58+C57+C55+C65</f>
        <v>228.39999999999998</v>
      </c>
      <c r="D66" s="31">
        <f t="shared" si="88"/>
        <v>220.3</v>
      </c>
      <c r="E66">
        <f>E63+E62+E64+E61+E60+E58+E57+E55+E65</f>
        <v>287.5</v>
      </c>
      <c r="F66" s="31">
        <f t="shared" si="89"/>
        <v>268.39999999999998</v>
      </c>
      <c r="G66">
        <f>G63+G62+G64+G61+G60+G58+G57+G55+G65</f>
        <v>294.40000000000003</v>
      </c>
      <c r="H66" s="56">
        <f>H63+H62+H64+H61+H60+H58+H57+H55</f>
        <v>336.29999999999995</v>
      </c>
      <c r="I66">
        <f>I63+I62+I64+I61+I60+I58+I57+I55+I65</f>
        <v>343.40000000000003</v>
      </c>
      <c r="J66" s="31">
        <f t="shared" si="91"/>
        <v>372.1</v>
      </c>
      <c r="K66">
        <f>K63+K62+K64+K61+K60+K58+K57+K55+K65</f>
        <v>217.3</v>
      </c>
      <c r="L66" s="31"/>
      <c r="P66" s="59">
        <f t="shared" ref="P66:S66" si="92">SUM(P55:P65)</f>
        <v>220.3</v>
      </c>
      <c r="Q66" s="59">
        <f t="shared" si="92"/>
        <v>268.39999999999998</v>
      </c>
      <c r="R66" s="59">
        <f t="shared" si="92"/>
        <v>336.3</v>
      </c>
      <c r="S66" s="59">
        <f t="shared" si="92"/>
        <v>372.1</v>
      </c>
      <c r="T66" s="59">
        <f>SUM(T55:T65)</f>
        <v>2792.3000000000006</v>
      </c>
    </row>
    <row r="67" spans="1:21" x14ac:dyDescent="0.25">
      <c r="D67" s="31"/>
      <c r="F67" s="31"/>
      <c r="H67" s="56"/>
      <c r="J67" s="31"/>
      <c r="L67" s="31"/>
      <c r="T67" s="59"/>
    </row>
    <row r="68" spans="1:21" x14ac:dyDescent="0.25">
      <c r="B68" t="s">
        <v>103</v>
      </c>
      <c r="C68">
        <v>131.80000000000001</v>
      </c>
      <c r="D68" s="31">
        <f>P68</f>
        <v>160.30000000000001</v>
      </c>
      <c r="E68">
        <v>152.5</v>
      </c>
      <c r="F68" s="31">
        <f>Q68</f>
        <v>164.7</v>
      </c>
      <c r="G68">
        <v>201.2</v>
      </c>
      <c r="H68" s="56">
        <f>R68</f>
        <v>150.4</v>
      </c>
      <c r="I68">
        <v>161.5</v>
      </c>
      <c r="J68" s="31">
        <f>S68</f>
        <v>167.9</v>
      </c>
      <c r="K68">
        <v>312.60000000000002</v>
      </c>
      <c r="L68" s="31"/>
      <c r="P68">
        <v>160.30000000000001</v>
      </c>
      <c r="Q68">
        <v>164.7</v>
      </c>
      <c r="R68">
        <v>150.4</v>
      </c>
      <c r="S68">
        <v>167.9</v>
      </c>
      <c r="T68" s="59">
        <v>159.19999999999999</v>
      </c>
    </row>
    <row r="69" spans="1:21" x14ac:dyDescent="0.25">
      <c r="B69" t="s">
        <v>104</v>
      </c>
      <c r="C69">
        <f>C68+C66</f>
        <v>360.2</v>
      </c>
      <c r="D69" s="31">
        <f>P69</f>
        <v>380.6</v>
      </c>
      <c r="E69">
        <f>E68+E66</f>
        <v>440</v>
      </c>
      <c r="F69" s="31">
        <f>Q69</f>
        <v>433.09999999999997</v>
      </c>
      <c r="G69">
        <f>G68+G66</f>
        <v>495.6</v>
      </c>
      <c r="H69" s="31">
        <f>H68+H66</f>
        <v>486.69999999999993</v>
      </c>
      <c r="I69">
        <f>I68+I66</f>
        <v>504.90000000000003</v>
      </c>
      <c r="J69" s="31">
        <f>S69</f>
        <v>540</v>
      </c>
      <c r="K69">
        <f>K68+K66</f>
        <v>529.90000000000009</v>
      </c>
      <c r="L69" s="31"/>
      <c r="P69">
        <f>P68+P66</f>
        <v>380.6</v>
      </c>
      <c r="Q69">
        <f>Q68+Q66</f>
        <v>433.09999999999997</v>
      </c>
      <c r="R69">
        <f>R68+R66</f>
        <v>486.70000000000005</v>
      </c>
      <c r="S69">
        <f>S68+S66</f>
        <v>540</v>
      </c>
      <c r="T69" s="59">
        <f>T68+T66</f>
        <v>2951.5000000000005</v>
      </c>
    </row>
    <row r="70" spans="1:21" x14ac:dyDescent="0.25">
      <c r="D70" s="31"/>
      <c r="F70" s="31"/>
      <c r="H70" s="31"/>
      <c r="J70" s="31"/>
      <c r="L70" s="31"/>
    </row>
    <row r="71" spans="1:21" s="73" customFormat="1" x14ac:dyDescent="0.25">
      <c r="A71" s="72"/>
      <c r="B71" s="72" t="s">
        <v>3</v>
      </c>
      <c r="C71" s="73">
        <f t="shared" ref="C71:I71" si="93">C36+C41</f>
        <v>144.79999999999998</v>
      </c>
      <c r="D71" s="75">
        <f t="shared" si="93"/>
        <v>134.1</v>
      </c>
      <c r="E71" s="73">
        <f t="shared" si="93"/>
        <v>112.1</v>
      </c>
      <c r="F71" s="75">
        <f t="shared" si="93"/>
        <v>100.1</v>
      </c>
      <c r="G71" s="73">
        <f t="shared" si="93"/>
        <v>141.5</v>
      </c>
      <c r="H71" s="75">
        <f t="shared" si="93"/>
        <v>222.2</v>
      </c>
      <c r="I71" s="73">
        <f t="shared" si="93"/>
        <v>192.9</v>
      </c>
      <c r="J71" s="75">
        <f>J36+J41</f>
        <v>255.6</v>
      </c>
      <c r="K71" s="73">
        <f t="shared" ref="K71" si="94">K36+K41</f>
        <v>299.5</v>
      </c>
      <c r="L71" s="75"/>
      <c r="P71" s="73">
        <f t="shared" ref="P71:S71" si="95">P36+P41</f>
        <v>134.1</v>
      </c>
      <c r="Q71" s="73">
        <f t="shared" si="95"/>
        <v>100.1</v>
      </c>
      <c r="R71" s="73">
        <f t="shared" si="95"/>
        <v>222.2</v>
      </c>
      <c r="S71" s="73">
        <f t="shared" si="95"/>
        <v>255.6</v>
      </c>
      <c r="T71" s="148">
        <f>+T41+T44</f>
        <v>319.60000000000002</v>
      </c>
      <c r="U71" s="149"/>
    </row>
    <row r="72" spans="1:21" s="128" customFormat="1" x14ac:dyDescent="0.25">
      <c r="A72" s="74"/>
      <c r="B72" s="74" t="s">
        <v>4</v>
      </c>
      <c r="C72" s="128">
        <f t="shared" ref="C72:I72" si="96">C62+C53</f>
        <v>0</v>
      </c>
      <c r="D72" s="150">
        <f t="shared" si="96"/>
        <v>0</v>
      </c>
      <c r="E72" s="128">
        <f t="shared" si="96"/>
        <v>59.2</v>
      </c>
      <c r="F72" s="150">
        <f t="shared" si="96"/>
        <v>52.5</v>
      </c>
      <c r="G72" s="128">
        <f t="shared" si="96"/>
        <v>0</v>
      </c>
      <c r="H72" s="150">
        <f t="shared" si="96"/>
        <v>0</v>
      </c>
      <c r="I72" s="128">
        <f t="shared" si="96"/>
        <v>0</v>
      </c>
      <c r="J72" s="150">
        <f>J62+J53</f>
        <v>0</v>
      </c>
      <c r="K72" s="128">
        <f t="shared" ref="K72" si="97">K62+K53</f>
        <v>0</v>
      </c>
      <c r="L72" s="150"/>
      <c r="P72" s="128">
        <f t="shared" ref="P72:S72" si="98">P62+P53</f>
        <v>0</v>
      </c>
      <c r="Q72" s="128">
        <f t="shared" si="98"/>
        <v>52.5</v>
      </c>
      <c r="R72" s="128">
        <f t="shared" si="98"/>
        <v>0</v>
      </c>
      <c r="S72" s="128">
        <f t="shared" si="98"/>
        <v>0</v>
      </c>
      <c r="T72" s="146">
        <f>+T53+T54+T62</f>
        <v>1719.7</v>
      </c>
      <c r="U72" s="151"/>
    </row>
    <row r="73" spans="1:21" s="98" customFormat="1" x14ac:dyDescent="0.25">
      <c r="A73" s="97"/>
      <c r="B73" s="97" t="s">
        <v>5</v>
      </c>
      <c r="C73" s="98">
        <f>C71-C72</f>
        <v>144.79999999999998</v>
      </c>
      <c r="D73" s="99">
        <f t="shared" ref="D73:J73" si="99">D71-D72</f>
        <v>134.1</v>
      </c>
      <c r="E73" s="98">
        <f t="shared" si="99"/>
        <v>52.899999999999991</v>
      </c>
      <c r="F73" s="99">
        <f t="shared" si="99"/>
        <v>47.599999999999994</v>
      </c>
      <c r="G73" s="98">
        <f t="shared" si="99"/>
        <v>141.5</v>
      </c>
      <c r="H73" s="99">
        <f t="shared" si="99"/>
        <v>222.2</v>
      </c>
      <c r="I73" s="98">
        <f t="shared" si="99"/>
        <v>192.9</v>
      </c>
      <c r="J73" s="99">
        <f t="shared" si="99"/>
        <v>255.6</v>
      </c>
      <c r="K73" s="98">
        <f t="shared" ref="K73" si="100">K71-K72</f>
        <v>299.5</v>
      </c>
      <c r="L73" s="99"/>
      <c r="P73" s="98">
        <f t="shared" ref="P73" si="101">P71-P72</f>
        <v>134.1</v>
      </c>
      <c r="Q73" s="98">
        <f t="shared" ref="Q73" si="102">Q71-Q72</f>
        <v>47.599999999999994</v>
      </c>
      <c r="R73" s="98">
        <f t="shared" ref="R73" si="103">R71-R72</f>
        <v>222.2</v>
      </c>
      <c r="S73" s="98">
        <f t="shared" ref="S73:T73" si="104">S71-S72</f>
        <v>255.6</v>
      </c>
      <c r="T73" s="152">
        <f t="shared" si="104"/>
        <v>-1400.1</v>
      </c>
      <c r="U73" s="153"/>
    </row>
    <row r="74" spans="1:21" x14ac:dyDescent="0.25">
      <c r="D74" s="31"/>
      <c r="F74" s="31"/>
      <c r="H74" s="31"/>
      <c r="J74" s="31"/>
      <c r="L74" s="31"/>
    </row>
    <row r="75" spans="1:21" x14ac:dyDescent="0.25">
      <c r="B75" t="s">
        <v>135</v>
      </c>
      <c r="C75" s="78">
        <f>C71/C64</f>
        <v>2.2073170731707314</v>
      </c>
      <c r="D75" s="111">
        <f t="shared" ref="D75:J75" si="105">D71/D64</f>
        <v>2.348511383537653</v>
      </c>
      <c r="E75" s="78">
        <f t="shared" si="105"/>
        <v>1.9529616724738676</v>
      </c>
      <c r="F75" s="111">
        <f t="shared" si="105"/>
        <v>1.8299817184643508</v>
      </c>
      <c r="G75" s="78">
        <f t="shared" si="105"/>
        <v>2.2143974960876371</v>
      </c>
      <c r="H75" s="111">
        <f t="shared" si="105"/>
        <v>3.0027027027027025</v>
      </c>
      <c r="I75" s="78">
        <f t="shared" si="105"/>
        <v>2.4573248407643313</v>
      </c>
      <c r="J75" s="111">
        <f t="shared" si="105"/>
        <v>3.1516646115906291</v>
      </c>
      <c r="K75" s="78">
        <f t="shared" ref="K75" si="106">K71/K64</f>
        <v>5.6403013182674195</v>
      </c>
      <c r="L75" s="49"/>
      <c r="M75" s="36"/>
      <c r="N75" s="36"/>
      <c r="O75" s="36"/>
      <c r="P75" s="78">
        <f>P71/P64</f>
        <v>2.348511383537653</v>
      </c>
      <c r="Q75" s="78">
        <f t="shared" ref="Q75:S75" si="107">Q71/Q64</f>
        <v>1.8299817184643508</v>
      </c>
      <c r="R75" s="78">
        <f t="shared" si="107"/>
        <v>3.0027027027027025</v>
      </c>
      <c r="S75" s="78">
        <f t="shared" si="107"/>
        <v>3.1516646115906291</v>
      </c>
      <c r="T75" s="78">
        <f t="shared" ref="T75" si="108">T71/T64</f>
        <v>2.2618542108987967</v>
      </c>
    </row>
    <row r="76" spans="1:21" x14ac:dyDescent="0.25">
      <c r="B76" t="s">
        <v>134</v>
      </c>
      <c r="C76" s="78">
        <f t="shared" ref="C76:J76" si="109">C73/C64</f>
        <v>2.2073170731707314</v>
      </c>
      <c r="D76" s="111">
        <f t="shared" si="109"/>
        <v>2.348511383537653</v>
      </c>
      <c r="E76" s="78">
        <f t="shared" si="109"/>
        <v>0.92160278745644586</v>
      </c>
      <c r="F76" s="111">
        <f t="shared" si="109"/>
        <v>0.87020109689213876</v>
      </c>
      <c r="G76" s="78">
        <f t="shared" si="109"/>
        <v>2.2143974960876371</v>
      </c>
      <c r="H76" s="111">
        <f t="shared" si="109"/>
        <v>3.0027027027027025</v>
      </c>
      <c r="I76" s="78">
        <f t="shared" si="109"/>
        <v>2.4573248407643313</v>
      </c>
      <c r="J76" s="111">
        <f t="shared" si="109"/>
        <v>3.1516646115906291</v>
      </c>
      <c r="K76" s="78">
        <f t="shared" ref="K76" si="110">K73/K64</f>
        <v>5.6403013182674195</v>
      </c>
      <c r="L76" s="49"/>
      <c r="M76" s="36"/>
      <c r="N76" s="36"/>
      <c r="O76" s="36"/>
      <c r="P76" s="78">
        <f>P73/P64</f>
        <v>2.348511383537653</v>
      </c>
      <c r="Q76" s="78">
        <f t="shared" ref="Q76:S76" si="111">Q73/Q64</f>
        <v>0.87020109689213876</v>
      </c>
      <c r="R76" s="78">
        <f t="shared" si="111"/>
        <v>3.0027027027027025</v>
      </c>
      <c r="S76" s="78">
        <f t="shared" si="111"/>
        <v>3.1516646115906291</v>
      </c>
      <c r="T76" s="78">
        <f t="shared" ref="T76" si="112">T73/T64</f>
        <v>-9.9087048832271751</v>
      </c>
    </row>
    <row r="77" spans="1:21" x14ac:dyDescent="0.25">
      <c r="D77" s="31"/>
      <c r="F77" s="31"/>
      <c r="H77" s="31"/>
      <c r="J77" s="31"/>
      <c r="L77" s="49"/>
    </row>
    <row r="78" spans="1:21" x14ac:dyDescent="0.25">
      <c r="B78" t="s">
        <v>183</v>
      </c>
      <c r="C78">
        <f>C46-C66</f>
        <v>131.79999999999995</v>
      </c>
      <c r="D78" s="31">
        <f t="shared" ref="D78:K78" si="113">D46-D66</f>
        <v>160.30000000000001</v>
      </c>
      <c r="E78">
        <f t="shared" si="113"/>
        <v>152.50000000000006</v>
      </c>
      <c r="F78" s="31">
        <f t="shared" si="113"/>
        <v>164.70000000000005</v>
      </c>
      <c r="G78">
        <f t="shared" si="113"/>
        <v>201.2</v>
      </c>
      <c r="H78" s="31">
        <f t="shared" si="113"/>
        <v>150.39999999999998</v>
      </c>
      <c r="I78">
        <f t="shared" si="113"/>
        <v>161.5</v>
      </c>
      <c r="J78" s="31">
        <f t="shared" si="113"/>
        <v>167.89999999999998</v>
      </c>
      <c r="K78">
        <f t="shared" si="113"/>
        <v>312.59999999999997</v>
      </c>
      <c r="L78" s="49"/>
      <c r="P78">
        <f t="shared" ref="P78:T78" si="114">P46-P66</f>
        <v>160.30000000000001</v>
      </c>
      <c r="Q78">
        <f t="shared" si="114"/>
        <v>164.70000000000005</v>
      </c>
      <c r="R78">
        <f t="shared" si="114"/>
        <v>150.39999999999992</v>
      </c>
      <c r="S78">
        <f t="shared" si="114"/>
        <v>167.89999999999998</v>
      </c>
      <c r="T78">
        <f t="shared" si="114"/>
        <v>159.19999999999936</v>
      </c>
    </row>
    <row r="79" spans="1:21" x14ac:dyDescent="0.25">
      <c r="B79" t="s">
        <v>184</v>
      </c>
      <c r="C79">
        <f>C78/C19</f>
        <v>0.36652385668048432</v>
      </c>
      <c r="D79" s="31">
        <f t="shared" ref="D79:K79" si="115">D78/D19</f>
        <v>0.43690239050584234</v>
      </c>
      <c r="E79">
        <f t="shared" si="115"/>
        <v>0.4160234693761361</v>
      </c>
      <c r="F79" s="31">
        <f t="shared" si="115"/>
        <v>0.44597614972624333</v>
      </c>
      <c r="G79">
        <f t="shared" si="115"/>
        <v>0.54604565690197626</v>
      </c>
      <c r="H79" s="31">
        <f t="shared" si="115"/>
        <v>0.40804373467009325</v>
      </c>
      <c r="I79">
        <f t="shared" si="115"/>
        <v>0.43577287542557031</v>
      </c>
      <c r="J79" s="31">
        <f t="shared" si="115"/>
        <v>0.45209379729760402</v>
      </c>
      <c r="K79">
        <f t="shared" si="115"/>
        <v>0.76821884818013808</v>
      </c>
      <c r="L79" s="49"/>
      <c r="P79">
        <f t="shared" ref="P79:T79" si="116">P78/P19</f>
        <v>0.43690239050584234</v>
      </c>
      <c r="Q79">
        <f t="shared" si="116"/>
        <v>0.44597614972624333</v>
      </c>
      <c r="R79">
        <f t="shared" si="116"/>
        <v>0.40804373467009308</v>
      </c>
      <c r="S79">
        <f t="shared" si="116"/>
        <v>0.45209379729760402</v>
      </c>
      <c r="T79">
        <f t="shared" si="116"/>
        <v>0.3732389615186677</v>
      </c>
    </row>
    <row r="80" spans="1:21" x14ac:dyDescent="0.25">
      <c r="B80" t="s">
        <v>189</v>
      </c>
      <c r="C80">
        <f>C79*(1/C29)</f>
        <v>0.27750140572417042</v>
      </c>
      <c r="D80" s="31">
        <f t="shared" ref="D80:K80" si="117">D79*(1/D29)</f>
        <v>0.34418023515506724</v>
      </c>
      <c r="E80">
        <f t="shared" si="117"/>
        <v>0.32817186193589654</v>
      </c>
      <c r="F80" s="31">
        <f t="shared" si="117"/>
        <v>0.34010230284926662</v>
      </c>
      <c r="G80">
        <f t="shared" si="117"/>
        <v>0.44354289408007164</v>
      </c>
      <c r="H80" s="31">
        <f t="shared" si="117"/>
        <v>0.29934981635250041</v>
      </c>
      <c r="I80">
        <f t="shared" si="117"/>
        <v>0.31479655813448698</v>
      </c>
      <c r="J80" s="31">
        <f t="shared" si="117"/>
        <v>0.33493391413365237</v>
      </c>
      <c r="K80">
        <f t="shared" si="117"/>
        <v>0.63321698663051273</v>
      </c>
      <c r="L80" s="119"/>
      <c r="P80">
        <f t="shared" ref="P80:T80" si="118">P79*(1/P29)</f>
        <v>0.34418023515506724</v>
      </c>
      <c r="Q80">
        <f t="shared" si="118"/>
        <v>0.34010230284926662</v>
      </c>
      <c r="R80">
        <f t="shared" si="118"/>
        <v>0.29934981635250024</v>
      </c>
      <c r="S80">
        <f t="shared" si="118"/>
        <v>0.33493391413365237</v>
      </c>
      <c r="T80">
        <f t="shared" ref="T80" si="119">T79*(1/T29)</f>
        <v>0.30958772521455519</v>
      </c>
    </row>
    <row r="81" spans="2:21" x14ac:dyDescent="0.25">
      <c r="D81" s="31"/>
      <c r="F81" s="31"/>
      <c r="H81" s="31"/>
      <c r="J81" s="31"/>
      <c r="L81" s="49"/>
    </row>
    <row r="82" spans="2:21" x14ac:dyDescent="0.25">
      <c r="B82" t="s">
        <v>180</v>
      </c>
      <c r="C82">
        <v>2.64</v>
      </c>
      <c r="D82" s="31"/>
      <c r="E82">
        <v>1.63</v>
      </c>
      <c r="F82" s="31"/>
      <c r="G82">
        <v>1.746</v>
      </c>
      <c r="H82" s="31"/>
      <c r="I82">
        <v>3.8380000000000001</v>
      </c>
      <c r="J82" s="31"/>
      <c r="K82">
        <v>1.6759999999999999</v>
      </c>
      <c r="L82" s="49"/>
      <c r="P82" s="64">
        <v>1.6276999999999999</v>
      </c>
      <c r="Q82" s="64">
        <v>1.5736000000000001</v>
      </c>
      <c r="R82" s="64">
        <v>2.8127</v>
      </c>
      <c r="S82" s="64">
        <v>3.01</v>
      </c>
      <c r="T82">
        <v>0.86950000000000005</v>
      </c>
    </row>
    <row r="83" spans="2:21" s="114" customFormat="1" x14ac:dyDescent="0.25">
      <c r="B83" s="114" t="s">
        <v>188</v>
      </c>
      <c r="C83" s="116">
        <f>C82*C19</f>
        <v>949.32974664000005</v>
      </c>
      <c r="D83" s="117"/>
      <c r="E83" s="116">
        <f>E82*E19</f>
        <v>597.50234853999996</v>
      </c>
      <c r="F83" s="117"/>
      <c r="G83" s="116">
        <f>G82*G19</f>
        <v>643.34400532199993</v>
      </c>
      <c r="H83" s="117"/>
      <c r="I83" s="116">
        <f>I82*I19</f>
        <v>1422.385455714</v>
      </c>
      <c r="J83" s="117"/>
      <c r="K83" s="116">
        <f>K82*K19</f>
        <v>681.99003609600004</v>
      </c>
      <c r="L83" s="49"/>
      <c r="P83" s="116">
        <f t="shared" ref="P83:S83" si="120">P82*P19</f>
        <v>597.20504091980001</v>
      </c>
      <c r="Q83" s="116">
        <f t="shared" si="120"/>
        <v>581.13403633600001</v>
      </c>
      <c r="R83" s="116">
        <f t="shared" si="120"/>
        <v>1036.7273016506999</v>
      </c>
      <c r="S83" s="116">
        <f t="shared" si="120"/>
        <v>1117.8631580899998</v>
      </c>
      <c r="T83" s="116">
        <f>T82*T19</f>
        <v>370.87339284400002</v>
      </c>
      <c r="U83" s="115"/>
    </row>
    <row r="84" spans="2:21" s="114" customFormat="1" x14ac:dyDescent="0.25">
      <c r="B84" s="114" t="s">
        <v>6</v>
      </c>
      <c r="C84" s="116">
        <f>C83-C73</f>
        <v>804.5297466400001</v>
      </c>
      <c r="D84" s="117"/>
      <c r="E84" s="116">
        <f>E83-E73</f>
        <v>544.60234853999998</v>
      </c>
      <c r="F84" s="117"/>
      <c r="G84" s="116">
        <f>G83-G73</f>
        <v>501.84400532199993</v>
      </c>
      <c r="H84" s="117"/>
      <c r="I84" s="116">
        <f>I83-I73</f>
        <v>1229.485455714</v>
      </c>
      <c r="J84" s="117"/>
      <c r="K84" s="116">
        <f>K83-K73</f>
        <v>382.49003609600004</v>
      </c>
      <c r="L84" s="49"/>
      <c r="P84" s="116">
        <f t="shared" ref="P84:S84" si="121">P83-P73</f>
        <v>463.10504091979999</v>
      </c>
      <c r="Q84" s="116">
        <f t="shared" si="121"/>
        <v>533.53403633599999</v>
      </c>
      <c r="R84" s="116">
        <f t="shared" si="121"/>
        <v>814.52730165069988</v>
      </c>
      <c r="S84" s="116">
        <f t="shared" si="121"/>
        <v>862.26315808999982</v>
      </c>
      <c r="T84" s="116">
        <f>T83-T73</f>
        <v>1770.973392844</v>
      </c>
      <c r="U84" s="115"/>
    </row>
    <row r="85" spans="2:21" x14ac:dyDescent="0.25">
      <c r="D85" s="31"/>
      <c r="F85" s="31"/>
      <c r="H85" s="31"/>
      <c r="J85" s="31"/>
      <c r="L85" s="31"/>
    </row>
    <row r="86" spans="2:21" x14ac:dyDescent="0.25">
      <c r="D86" s="31"/>
      <c r="F86" s="31"/>
      <c r="H86" s="31"/>
      <c r="J86" s="31"/>
      <c r="L86" s="31"/>
    </row>
    <row r="87" spans="2:21" x14ac:dyDescent="0.25">
      <c r="B87" t="s">
        <v>185</v>
      </c>
      <c r="C87" s="118">
        <f>C82/C80</f>
        <v>9.5134653214120846</v>
      </c>
      <c r="D87" s="120"/>
      <c r="E87" s="118">
        <f>E82/E80</f>
        <v>4.966909686846936</v>
      </c>
      <c r="F87" s="120"/>
      <c r="G87" s="118">
        <f>G82/G80</f>
        <v>3.9364851140751207</v>
      </c>
      <c r="H87" s="120"/>
      <c r="I87" s="118">
        <f>I82/I80</f>
        <v>12.19200115383833</v>
      </c>
      <c r="J87" s="120"/>
      <c r="K87" s="118">
        <f>K82/K80</f>
        <v>2.6468020210865877</v>
      </c>
      <c r="L87" s="31"/>
      <c r="P87" s="118">
        <f t="shared" ref="P87" si="122">P82/P79</f>
        <v>3.7255461067985025</v>
      </c>
      <c r="Q87" s="118">
        <f>Q82/Q79</f>
        <v>3.5284398077474188</v>
      </c>
      <c r="R87" s="118">
        <f>R82/R79</f>
        <v>6.8931336545924236</v>
      </c>
      <c r="S87" s="118">
        <f>S82/S79</f>
        <v>6.6579104114949379</v>
      </c>
      <c r="T87" s="118">
        <f>T82/T80</f>
        <v>2.8085738845020614</v>
      </c>
    </row>
    <row r="88" spans="2:21" x14ac:dyDescent="0.25">
      <c r="B88" t="s">
        <v>187</v>
      </c>
      <c r="D88" s="31"/>
      <c r="F88" s="31"/>
      <c r="H88" s="31"/>
      <c r="J88" s="31"/>
      <c r="L88" s="31"/>
      <c r="P88" s="118">
        <f t="shared" ref="P88:T88" si="123">P82/P18</f>
        <v>6.2996312333312208</v>
      </c>
      <c r="Q88" s="118">
        <f t="shared" si="123"/>
        <v>13.969568181153878</v>
      </c>
      <c r="R88" s="118">
        <f t="shared" si="123"/>
        <v>91.745778907141172</v>
      </c>
      <c r="S88" s="118">
        <f t="shared" si="123"/>
        <v>16.224428999854851</v>
      </c>
      <c r="T88" s="118">
        <f>T82/T18</f>
        <v>-3.0752354298839135</v>
      </c>
    </row>
    <row r="90" spans="2:21" x14ac:dyDescent="0.25">
      <c r="B90" s="38" t="s">
        <v>149</v>
      </c>
    </row>
  </sheetData>
  <hyperlinks>
    <hyperlink ref="T1" r:id="rId1" xr:uid="{9F97538F-73EA-4DFC-89C2-AD899E0DB4AF}"/>
  </hyperlinks>
  <pageMargins left="0.7" right="0.7" top="0.75" bottom="0.75" header="0.3" footer="0.3"/>
  <pageSetup paperSize="256" orientation="portrait" horizontalDpi="203" verticalDpi="203" r:id="rId2"/>
  <ignoredErrors>
    <ignoredError sqref="J11 J15 H11 H15 H40 J40 F40 D40 D11 D15 F66 F69 F55 D55 D66 D69 F15 F11 W3:W4 W8:W9 W5 L7 L11 L15 J46 J66 H66 J69 J55 D46 H46 F46 U19 U11 X19 U13" formula="1"/>
    <ignoredError sqref="U12" formula="1" formulaRange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D90E7-FC56-446A-8B6E-D6C3AB79A31E}">
  <dimension ref="A1:J27"/>
  <sheetViews>
    <sheetView workbookViewId="0">
      <selection activeCell="F10" sqref="F10"/>
    </sheetView>
  </sheetViews>
  <sheetFormatPr defaultRowHeight="12.75" x14ac:dyDescent="0.2"/>
  <cols>
    <col min="1" max="1" width="25.28515625" style="126" bestFit="1" customWidth="1"/>
    <col min="2" max="8" width="9.140625" style="126"/>
    <col min="9" max="9" width="10" style="126" bestFit="1" customWidth="1"/>
    <col min="10" max="16384" width="9.140625" style="126"/>
  </cols>
  <sheetData>
    <row r="1" spans="1:10" ht="15" x14ac:dyDescent="0.25">
      <c r="A1" s="126" t="s">
        <v>75</v>
      </c>
      <c r="C1" s="138" t="s">
        <v>147</v>
      </c>
      <c r="D1" s="175" t="s">
        <v>147</v>
      </c>
      <c r="I1" s="131" t="s">
        <v>49</v>
      </c>
      <c r="J1" s="186" t="s">
        <v>49</v>
      </c>
    </row>
    <row r="2" spans="1:10" x14ac:dyDescent="0.2">
      <c r="C2" s="139" t="s">
        <v>114</v>
      </c>
      <c r="D2" s="176">
        <v>44926</v>
      </c>
      <c r="I2" s="132" t="s">
        <v>114</v>
      </c>
      <c r="J2" s="187">
        <v>44926</v>
      </c>
    </row>
    <row r="3" spans="1:10" ht="15" x14ac:dyDescent="0.25">
      <c r="A3" s="126" t="s">
        <v>58</v>
      </c>
      <c r="C3" s="140">
        <v>765.61200000000019</v>
      </c>
      <c r="D3" s="181">
        <v>906.69999999999993</v>
      </c>
      <c r="I3" s="133">
        <v>1097.7120000000002</v>
      </c>
      <c r="J3" s="181">
        <v>1238.8</v>
      </c>
    </row>
    <row r="4" spans="1:10" ht="15" x14ac:dyDescent="0.25">
      <c r="A4" s="126" t="s">
        <v>71</v>
      </c>
      <c r="C4" s="141">
        <v>143.78000000000003</v>
      </c>
      <c r="D4" s="182">
        <v>194</v>
      </c>
      <c r="I4" s="134">
        <v>206.08</v>
      </c>
      <c r="J4" s="182">
        <v>256.3</v>
      </c>
    </row>
    <row r="5" spans="1:10" ht="15" x14ac:dyDescent="0.25">
      <c r="A5" s="126" t="s">
        <v>72</v>
      </c>
      <c r="C5" s="141">
        <v>119.20800000000001</v>
      </c>
      <c r="D5" s="182">
        <v>125.99999999999999</v>
      </c>
      <c r="I5" s="134">
        <v>177.40800000000002</v>
      </c>
      <c r="J5" s="182">
        <v>184.2</v>
      </c>
    </row>
    <row r="6" spans="1:10" ht="15" x14ac:dyDescent="0.25">
      <c r="A6" s="126" t="s">
        <v>73</v>
      </c>
      <c r="C6" s="141">
        <v>262.98800000000006</v>
      </c>
      <c r="D6" s="183">
        <v>320</v>
      </c>
      <c r="I6" s="134">
        <v>383.48800000000006</v>
      </c>
      <c r="J6" s="182">
        <v>440.5</v>
      </c>
    </row>
    <row r="7" spans="1:10" ht="15" x14ac:dyDescent="0.25">
      <c r="A7" s="126" t="s">
        <v>74</v>
      </c>
      <c r="C7" s="140">
        <v>502.62400000000014</v>
      </c>
      <c r="D7" s="181">
        <v>586.69999999999993</v>
      </c>
      <c r="I7" s="133">
        <v>714.22400000000016</v>
      </c>
      <c r="J7" s="181">
        <v>798.3</v>
      </c>
    </row>
    <row r="8" spans="1:10" ht="15" x14ac:dyDescent="0.25">
      <c r="A8" s="126" t="s">
        <v>76</v>
      </c>
      <c r="C8" s="141">
        <v>227.12000000000003</v>
      </c>
      <c r="D8" s="178">
        <v>153.9</v>
      </c>
      <c r="I8" s="134">
        <v>331.02000000000004</v>
      </c>
      <c r="J8" s="178">
        <v>257.8</v>
      </c>
    </row>
    <row r="9" spans="1:10" ht="15" x14ac:dyDescent="0.25">
      <c r="A9" s="126" t="s">
        <v>77</v>
      </c>
      <c r="C9" s="141">
        <v>161.61599999999999</v>
      </c>
      <c r="D9" s="178">
        <v>372.3</v>
      </c>
      <c r="I9" s="134">
        <v>237.816</v>
      </c>
      <c r="J9" s="178">
        <v>448.5</v>
      </c>
    </row>
    <row r="10" spans="1:10" ht="15" x14ac:dyDescent="0.25">
      <c r="A10" s="126" t="s">
        <v>78</v>
      </c>
      <c r="C10" s="141">
        <v>13.600000000000001</v>
      </c>
      <c r="D10" s="178">
        <v>80.400000000000006</v>
      </c>
      <c r="I10" s="134">
        <v>30</v>
      </c>
      <c r="J10" s="178">
        <v>96.8</v>
      </c>
    </row>
    <row r="11" spans="1:10" ht="15" x14ac:dyDescent="0.25">
      <c r="A11" s="126" t="s">
        <v>79</v>
      </c>
      <c r="C11" s="140">
        <v>100.28800000000015</v>
      </c>
      <c r="D11" s="177">
        <v>-19.900000000000063</v>
      </c>
      <c r="I11" s="133">
        <v>115.38800000000012</v>
      </c>
      <c r="J11" s="177">
        <v>-4.7999999999999972</v>
      </c>
    </row>
    <row r="12" spans="1:10" ht="15" x14ac:dyDescent="0.25">
      <c r="A12" s="126" t="s">
        <v>80</v>
      </c>
      <c r="C12" s="141">
        <v>0</v>
      </c>
      <c r="D12" s="178">
        <v>0.70000000000000007</v>
      </c>
      <c r="I12" s="134">
        <v>0.1</v>
      </c>
      <c r="J12" s="178">
        <v>0.8</v>
      </c>
    </row>
    <row r="13" spans="1:10" ht="15" x14ac:dyDescent="0.25">
      <c r="A13" s="126" t="s">
        <v>81</v>
      </c>
      <c r="C13" s="141">
        <v>5.2</v>
      </c>
      <c r="D13" s="178">
        <v>110.9</v>
      </c>
      <c r="I13" s="134">
        <v>6</v>
      </c>
      <c r="J13" s="178">
        <v>111.7</v>
      </c>
    </row>
    <row r="14" spans="1:10" ht="15" x14ac:dyDescent="0.25">
      <c r="A14" s="126" t="s">
        <v>82</v>
      </c>
      <c r="C14" s="141">
        <v>0.1</v>
      </c>
      <c r="D14" s="178">
        <v>0</v>
      </c>
      <c r="I14" s="134">
        <v>0.1</v>
      </c>
      <c r="J14" s="178">
        <v>0</v>
      </c>
    </row>
    <row r="15" spans="1:10" ht="15" x14ac:dyDescent="0.25">
      <c r="A15" s="126" t="s">
        <v>83</v>
      </c>
      <c r="C15" s="141">
        <v>94.988000000000156</v>
      </c>
      <c r="D15" s="178">
        <v>-130.10000000000008</v>
      </c>
      <c r="I15" s="134">
        <v>109.38800000000012</v>
      </c>
      <c r="J15" s="178">
        <v>-115.7</v>
      </c>
    </row>
    <row r="16" spans="1:10" ht="15" x14ac:dyDescent="0.25">
      <c r="A16" s="126" t="s">
        <v>84</v>
      </c>
      <c r="C16" s="141">
        <v>10.772544000000002</v>
      </c>
      <c r="D16" s="178">
        <v>2.5000000000000004</v>
      </c>
      <c r="I16" s="134">
        <v>13.172544000000002</v>
      </c>
      <c r="J16" s="178">
        <v>4.9000000000000004</v>
      </c>
    </row>
    <row r="17" spans="1:10" ht="15" x14ac:dyDescent="0.25">
      <c r="A17" s="126" t="s">
        <v>85</v>
      </c>
      <c r="C17" s="140">
        <v>84.21545600000016</v>
      </c>
      <c r="D17" s="177">
        <v>-132.60000000000008</v>
      </c>
      <c r="I17" s="133">
        <v>96.215456000000117</v>
      </c>
      <c r="J17" s="177">
        <v>-120.60000000000001</v>
      </c>
    </row>
    <row r="18" spans="1:10" ht="15" x14ac:dyDescent="0.25">
      <c r="A18" s="126" t="s">
        <v>86</v>
      </c>
      <c r="C18" s="141">
        <v>0.22198586135908538</v>
      </c>
      <c r="D18" s="178">
        <v>-0.31087617020964553</v>
      </c>
      <c r="I18" s="134">
        <v>0.26071567295834686</v>
      </c>
      <c r="J18" s="188">
        <v>-0.28274258014542408</v>
      </c>
    </row>
    <row r="19" spans="1:10" ht="15" x14ac:dyDescent="0.25">
      <c r="A19" s="126" t="s">
        <v>1</v>
      </c>
      <c r="C19" s="141">
        <v>379.37306224999998</v>
      </c>
      <c r="D19" s="178">
        <v>426.53639199999998</v>
      </c>
      <c r="I19" s="134">
        <v>369.04362100000003</v>
      </c>
      <c r="J19" s="189">
        <v>426.53639199999998</v>
      </c>
    </row>
    <row r="20" spans="1:10" ht="15" x14ac:dyDescent="0.25">
      <c r="C20" s="142"/>
      <c r="D20" s="179"/>
      <c r="I20" s="135"/>
      <c r="J20" s="179"/>
    </row>
    <row r="21" spans="1:10" ht="15" x14ac:dyDescent="0.25">
      <c r="A21" s="126" t="s">
        <v>70</v>
      </c>
      <c r="C21" s="143">
        <v>0.6564996368917938</v>
      </c>
      <c r="D21" s="180">
        <v>0.64707179883092536</v>
      </c>
      <c r="I21" s="136">
        <v>0.65064789307213555</v>
      </c>
      <c r="J21" s="180">
        <v>0.64441394898288662</v>
      </c>
    </row>
    <row r="22" spans="1:10" ht="15" x14ac:dyDescent="0.25">
      <c r="A22" s="126" t="s">
        <v>69</v>
      </c>
      <c r="C22" s="143">
        <v>0.13099063233073688</v>
      </c>
      <c r="D22" s="180">
        <v>-2.1947722510201901E-2</v>
      </c>
      <c r="I22" s="136">
        <v>0.1051168248137946</v>
      </c>
      <c r="J22" s="180">
        <v>-3.8747174685179182E-3</v>
      </c>
    </row>
    <row r="23" spans="1:10" ht="15" x14ac:dyDescent="0.25">
      <c r="A23" s="126" t="s">
        <v>68</v>
      </c>
      <c r="C23" s="143">
        <v>0.10999756534641586</v>
      </c>
      <c r="D23" s="180">
        <v>-0.14624462335943542</v>
      </c>
      <c r="I23" s="136">
        <v>8.7650910256970957E-2</v>
      </c>
      <c r="J23" s="180">
        <v>-9.7352276396512769E-2</v>
      </c>
    </row>
    <row r="24" spans="1:10" ht="15" x14ac:dyDescent="0.25">
      <c r="A24" s="126" t="s">
        <v>67</v>
      </c>
      <c r="C24" s="143">
        <v>0.11340952541373631</v>
      </c>
      <c r="D24" s="180">
        <v>-1.9215987701767863E-2</v>
      </c>
      <c r="I24" s="136">
        <v>0.12042037517826441</v>
      </c>
      <c r="J24" s="180">
        <v>-4.2350907519446847E-2</v>
      </c>
    </row>
    <row r="25" spans="1:10" ht="15" x14ac:dyDescent="0.25">
      <c r="C25" s="142"/>
      <c r="D25" s="179"/>
      <c r="I25" s="135"/>
      <c r="J25" s="179"/>
    </row>
    <row r="26" spans="1:10" ht="15" x14ac:dyDescent="0.25">
      <c r="A26" s="126" t="s">
        <v>65</v>
      </c>
      <c r="C26" s="144">
        <v>0.69495682975426187</v>
      </c>
      <c r="D26" s="184">
        <v>1.0073057338941771</v>
      </c>
      <c r="I26" s="137">
        <v>0.12000000000000011</v>
      </c>
      <c r="J26" s="184">
        <v>0.26395265789205169</v>
      </c>
    </row>
    <row r="27" spans="1:10" ht="15" x14ac:dyDescent="0.25">
      <c r="A27" s="126" t="s">
        <v>66</v>
      </c>
      <c r="C27" s="143">
        <v>1.3053658536585369</v>
      </c>
      <c r="D27" s="185">
        <v>1.7302017464619088</v>
      </c>
      <c r="J27" s="130"/>
    </row>
  </sheetData>
  <pageMargins left="0.7" right="0.7" top="0.75" bottom="0.75" header="0.3" footer="0.3"/>
  <pageSetup paperSize="125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D7C0-E33A-438E-957C-D679C8B50EB8}">
  <dimension ref="A1:G51"/>
  <sheetViews>
    <sheetView workbookViewId="0">
      <selection activeCell="C22" sqref="C22"/>
    </sheetView>
  </sheetViews>
  <sheetFormatPr defaultColWidth="8.85546875" defaultRowHeight="15" x14ac:dyDescent="0.25"/>
  <cols>
    <col min="1" max="1" width="10.140625" bestFit="1" customWidth="1"/>
    <col min="2" max="2" width="19.28515625" bestFit="1" customWidth="1"/>
    <col min="3" max="3" width="18.28515625" bestFit="1" customWidth="1"/>
    <col min="4" max="4" width="11" bestFit="1" customWidth="1"/>
    <col min="5" max="5" width="12" bestFit="1" customWidth="1"/>
    <col min="6" max="6" width="12.42578125" bestFit="1" customWidth="1"/>
    <col min="7" max="7" width="11.85546875" bestFit="1" customWidth="1"/>
  </cols>
  <sheetData>
    <row r="1" spans="1:7" x14ac:dyDescent="0.25">
      <c r="A1" s="100" t="s">
        <v>158</v>
      </c>
      <c r="B1" s="100" t="s">
        <v>159</v>
      </c>
      <c r="C1" s="100" t="s">
        <v>160</v>
      </c>
      <c r="D1" s="100" t="s">
        <v>161</v>
      </c>
      <c r="E1" s="100" t="s">
        <v>162</v>
      </c>
      <c r="F1" s="100" t="s">
        <v>163</v>
      </c>
      <c r="G1" s="109" t="s">
        <v>180</v>
      </c>
    </row>
    <row r="2" spans="1:7" x14ac:dyDescent="0.25">
      <c r="A2" s="101">
        <v>44785</v>
      </c>
      <c r="B2" s="103" t="s">
        <v>164</v>
      </c>
      <c r="C2" s="104" t="s">
        <v>165</v>
      </c>
      <c r="D2" s="102">
        <v>370</v>
      </c>
      <c r="E2" s="102">
        <v>370</v>
      </c>
      <c r="F2" s="102" t="s">
        <v>166</v>
      </c>
    </row>
    <row r="3" spans="1:7" x14ac:dyDescent="0.25">
      <c r="A3" s="105">
        <v>44768</v>
      </c>
      <c r="B3" s="107" t="s">
        <v>167</v>
      </c>
      <c r="C3" s="106" t="s">
        <v>168</v>
      </c>
      <c r="D3" s="106">
        <v>250</v>
      </c>
      <c r="E3" s="106">
        <v>230</v>
      </c>
      <c r="F3" s="106" t="s">
        <v>166</v>
      </c>
    </row>
    <row r="4" spans="1:7" x14ac:dyDescent="0.25">
      <c r="A4" s="101">
        <v>44762</v>
      </c>
      <c r="B4" s="103" t="s">
        <v>164</v>
      </c>
      <c r="C4" s="104" t="s">
        <v>165</v>
      </c>
      <c r="D4" s="102">
        <v>500</v>
      </c>
      <c r="E4" s="102">
        <v>370</v>
      </c>
      <c r="F4" s="102" t="s">
        <v>166</v>
      </c>
    </row>
    <row r="5" spans="1:7" x14ac:dyDescent="0.25">
      <c r="A5" s="105">
        <v>44747</v>
      </c>
      <c r="B5" s="107" t="s">
        <v>169</v>
      </c>
      <c r="C5" s="108" t="s">
        <v>165</v>
      </c>
      <c r="D5" s="106">
        <v>350</v>
      </c>
      <c r="E5" s="106">
        <v>350</v>
      </c>
      <c r="F5" s="106" t="s">
        <v>166</v>
      </c>
    </row>
    <row r="6" spans="1:7" x14ac:dyDescent="0.25">
      <c r="A6" s="101">
        <v>44697</v>
      </c>
      <c r="B6" s="103" t="s">
        <v>164</v>
      </c>
      <c r="C6" s="104" t="s">
        <v>165</v>
      </c>
      <c r="D6" s="102" t="s">
        <v>148</v>
      </c>
      <c r="E6" s="102">
        <v>500</v>
      </c>
      <c r="F6" s="102" t="s">
        <v>166</v>
      </c>
    </row>
    <row r="7" spans="1:7" x14ac:dyDescent="0.25">
      <c r="A7" s="105">
        <v>44665</v>
      </c>
      <c r="B7" s="107" t="s">
        <v>164</v>
      </c>
      <c r="C7" s="108" t="s">
        <v>165</v>
      </c>
      <c r="D7" s="106">
        <v>545</v>
      </c>
      <c r="E7" s="106">
        <v>500</v>
      </c>
      <c r="F7" s="106" t="s">
        <v>166</v>
      </c>
    </row>
    <row r="8" spans="1:7" x14ac:dyDescent="0.25">
      <c r="A8" s="101">
        <v>44658</v>
      </c>
      <c r="B8" s="103" t="s">
        <v>170</v>
      </c>
      <c r="C8" s="104" t="s">
        <v>165</v>
      </c>
      <c r="D8" s="102">
        <v>690</v>
      </c>
      <c r="E8" s="102">
        <v>690</v>
      </c>
      <c r="F8" s="102" t="s">
        <v>166</v>
      </c>
    </row>
    <row r="9" spans="1:7" x14ac:dyDescent="0.25">
      <c r="A9" s="105">
        <v>44650</v>
      </c>
      <c r="B9" s="107" t="s">
        <v>164</v>
      </c>
      <c r="C9" s="108" t="s">
        <v>165</v>
      </c>
      <c r="D9" s="106" t="s">
        <v>148</v>
      </c>
      <c r="E9" s="106">
        <v>545</v>
      </c>
      <c r="F9" s="106" t="s">
        <v>166</v>
      </c>
    </row>
    <row r="10" spans="1:7" x14ac:dyDescent="0.25">
      <c r="A10" s="101">
        <v>44642</v>
      </c>
      <c r="B10" s="103" t="s">
        <v>164</v>
      </c>
      <c r="C10" s="104" t="s">
        <v>165</v>
      </c>
      <c r="D10" s="102" t="s">
        <v>148</v>
      </c>
      <c r="E10" s="102">
        <v>545</v>
      </c>
      <c r="F10" s="102" t="s">
        <v>166</v>
      </c>
    </row>
    <row r="11" spans="1:7" x14ac:dyDescent="0.25">
      <c r="A11" s="105">
        <v>44629</v>
      </c>
      <c r="B11" s="107" t="s">
        <v>170</v>
      </c>
      <c r="C11" s="108" t="s">
        <v>165</v>
      </c>
      <c r="D11" s="106">
        <v>690</v>
      </c>
      <c r="E11" s="106">
        <v>690</v>
      </c>
      <c r="F11" s="106" t="s">
        <v>166</v>
      </c>
    </row>
    <row r="12" spans="1:7" x14ac:dyDescent="0.25">
      <c r="A12" s="101">
        <v>44629</v>
      </c>
      <c r="B12" s="103" t="s">
        <v>164</v>
      </c>
      <c r="C12" s="104" t="s">
        <v>165</v>
      </c>
      <c r="D12" s="102" t="s">
        <v>148</v>
      </c>
      <c r="E12" s="102">
        <v>545</v>
      </c>
      <c r="F12" s="102" t="s">
        <v>166</v>
      </c>
    </row>
    <row r="13" spans="1:7" x14ac:dyDescent="0.25">
      <c r="A13" s="105">
        <v>44578</v>
      </c>
      <c r="B13" s="107" t="s">
        <v>164</v>
      </c>
      <c r="C13" s="108" t="s">
        <v>165</v>
      </c>
      <c r="D13" s="106">
        <v>600</v>
      </c>
      <c r="E13" s="106">
        <v>545</v>
      </c>
      <c r="F13" s="106" t="s">
        <v>166</v>
      </c>
    </row>
    <row r="14" spans="1:7" x14ac:dyDescent="0.25">
      <c r="A14" s="101">
        <v>44531</v>
      </c>
      <c r="B14" s="103" t="s">
        <v>164</v>
      </c>
      <c r="C14" s="104" t="s">
        <v>165</v>
      </c>
      <c r="D14" s="102" t="s">
        <v>148</v>
      </c>
      <c r="E14" s="102">
        <v>600</v>
      </c>
      <c r="F14" s="102" t="s">
        <v>166</v>
      </c>
    </row>
    <row r="15" spans="1:7" x14ac:dyDescent="0.25">
      <c r="A15" s="105">
        <v>44530</v>
      </c>
      <c r="B15" s="107" t="s">
        <v>171</v>
      </c>
      <c r="C15" s="108" t="s">
        <v>165</v>
      </c>
      <c r="D15" s="106">
        <v>750</v>
      </c>
      <c r="E15" s="106">
        <v>750</v>
      </c>
      <c r="F15" s="106" t="s">
        <v>166</v>
      </c>
    </row>
    <row r="16" spans="1:7" x14ac:dyDescent="0.25">
      <c r="A16" s="101">
        <v>44488</v>
      </c>
      <c r="B16" s="103" t="s">
        <v>171</v>
      </c>
      <c r="C16" s="104" t="s">
        <v>165</v>
      </c>
      <c r="D16" s="102">
        <v>750</v>
      </c>
      <c r="E16" s="102">
        <v>750</v>
      </c>
      <c r="F16" s="102" t="s">
        <v>166</v>
      </c>
    </row>
    <row r="17" spans="1:6" x14ac:dyDescent="0.25">
      <c r="A17" s="105">
        <v>44488</v>
      </c>
      <c r="B17" s="107" t="s">
        <v>170</v>
      </c>
      <c r="C17" s="108" t="s">
        <v>165</v>
      </c>
      <c r="D17" s="106">
        <v>690</v>
      </c>
      <c r="E17" s="106">
        <v>690</v>
      </c>
      <c r="F17" s="106" t="s">
        <v>166</v>
      </c>
    </row>
    <row r="18" spans="1:6" x14ac:dyDescent="0.25">
      <c r="A18" s="101">
        <v>44488</v>
      </c>
      <c r="B18" s="103" t="s">
        <v>164</v>
      </c>
      <c r="C18" s="104" t="s">
        <v>165</v>
      </c>
      <c r="D18" s="102" t="s">
        <v>148</v>
      </c>
      <c r="E18" s="102">
        <v>600</v>
      </c>
      <c r="F18" s="102" t="s">
        <v>166</v>
      </c>
    </row>
    <row r="19" spans="1:6" x14ac:dyDescent="0.25">
      <c r="A19" s="105">
        <v>44469</v>
      </c>
      <c r="B19" s="107" t="s">
        <v>170</v>
      </c>
      <c r="C19" s="108" t="s">
        <v>165</v>
      </c>
      <c r="D19" s="106">
        <v>510</v>
      </c>
      <c r="E19" s="106">
        <v>690</v>
      </c>
      <c r="F19" s="106" t="s">
        <v>166</v>
      </c>
    </row>
    <row r="20" spans="1:6" x14ac:dyDescent="0.25">
      <c r="A20" s="101">
        <v>44449</v>
      </c>
      <c r="B20" s="103" t="s">
        <v>164</v>
      </c>
      <c r="C20" s="104" t="s">
        <v>165</v>
      </c>
      <c r="D20" s="102">
        <v>470</v>
      </c>
      <c r="E20" s="102">
        <v>600</v>
      </c>
      <c r="F20" s="102" t="s">
        <v>166</v>
      </c>
    </row>
    <row r="21" spans="1:6" x14ac:dyDescent="0.25">
      <c r="A21" s="105">
        <v>44439</v>
      </c>
      <c r="B21" s="107" t="s">
        <v>164</v>
      </c>
      <c r="C21" s="108" t="s">
        <v>165</v>
      </c>
      <c r="D21" s="106" t="s">
        <v>148</v>
      </c>
      <c r="E21" s="106">
        <v>460</v>
      </c>
      <c r="F21" s="106" t="s">
        <v>166</v>
      </c>
    </row>
    <row r="22" spans="1:6" x14ac:dyDescent="0.25">
      <c r="A22" s="101">
        <v>44383</v>
      </c>
      <c r="B22" s="103" t="s">
        <v>164</v>
      </c>
      <c r="C22" s="104" t="s">
        <v>165</v>
      </c>
      <c r="D22" s="102" t="s">
        <v>148</v>
      </c>
      <c r="E22" s="102">
        <v>460</v>
      </c>
      <c r="F22" s="102" t="s">
        <v>166</v>
      </c>
    </row>
    <row r="23" spans="1:6" x14ac:dyDescent="0.25">
      <c r="A23" s="105">
        <v>44371</v>
      </c>
      <c r="B23" s="107" t="s">
        <v>171</v>
      </c>
      <c r="C23" s="108" t="s">
        <v>165</v>
      </c>
      <c r="D23" s="106">
        <v>500</v>
      </c>
      <c r="E23" s="106">
        <v>500</v>
      </c>
      <c r="F23" s="106" t="s">
        <v>166</v>
      </c>
    </row>
    <row r="24" spans="1:6" x14ac:dyDescent="0.25">
      <c r="A24" s="101">
        <v>44371</v>
      </c>
      <c r="B24" s="103" t="s">
        <v>170</v>
      </c>
      <c r="C24" s="104" t="s">
        <v>165</v>
      </c>
      <c r="D24" s="102">
        <v>475</v>
      </c>
      <c r="E24" s="102">
        <v>475</v>
      </c>
      <c r="F24" s="102" t="s">
        <v>166</v>
      </c>
    </row>
    <row r="25" spans="1:6" x14ac:dyDescent="0.25">
      <c r="A25" s="105">
        <v>44314</v>
      </c>
      <c r="B25" s="107" t="s">
        <v>170</v>
      </c>
      <c r="C25" s="108" t="s">
        <v>165</v>
      </c>
      <c r="D25" s="106">
        <v>420</v>
      </c>
      <c r="E25" s="106">
        <v>475</v>
      </c>
      <c r="F25" s="106" t="s">
        <v>166</v>
      </c>
    </row>
    <row r="26" spans="1:6" x14ac:dyDescent="0.25">
      <c r="A26" s="101">
        <v>44314</v>
      </c>
      <c r="B26" s="103" t="s">
        <v>164</v>
      </c>
      <c r="C26" s="104" t="s">
        <v>165</v>
      </c>
      <c r="D26" s="102" t="s">
        <v>148</v>
      </c>
      <c r="E26" s="102">
        <v>420</v>
      </c>
      <c r="F26" s="102" t="s">
        <v>166</v>
      </c>
    </row>
    <row r="27" spans="1:6" x14ac:dyDescent="0.25">
      <c r="A27" s="105">
        <v>44285</v>
      </c>
      <c r="B27" s="107" t="s">
        <v>167</v>
      </c>
      <c r="C27" s="106" t="s">
        <v>168</v>
      </c>
      <c r="D27" s="106" t="s">
        <v>148</v>
      </c>
      <c r="E27" s="106" t="s">
        <v>148</v>
      </c>
      <c r="F27" s="106" t="s">
        <v>172</v>
      </c>
    </row>
    <row r="28" spans="1:6" x14ac:dyDescent="0.25">
      <c r="A28" s="101">
        <v>44273</v>
      </c>
      <c r="B28" s="103" t="s">
        <v>171</v>
      </c>
      <c r="C28" s="104" t="s">
        <v>165</v>
      </c>
      <c r="D28" s="102" t="s">
        <v>148</v>
      </c>
      <c r="E28" s="102">
        <v>400</v>
      </c>
      <c r="F28" s="102" t="s">
        <v>166</v>
      </c>
    </row>
    <row r="29" spans="1:6" x14ac:dyDescent="0.25">
      <c r="A29" s="105">
        <v>44273</v>
      </c>
      <c r="B29" s="107" t="s">
        <v>173</v>
      </c>
      <c r="C29" s="106" t="s">
        <v>174</v>
      </c>
      <c r="D29" s="106" t="s">
        <v>148</v>
      </c>
      <c r="E29" s="106">
        <v>360</v>
      </c>
      <c r="F29" s="106" t="s">
        <v>166</v>
      </c>
    </row>
    <row r="30" spans="1:6" x14ac:dyDescent="0.25">
      <c r="A30" s="101">
        <v>44252</v>
      </c>
      <c r="B30" s="103" t="s">
        <v>175</v>
      </c>
      <c r="C30" s="104" t="s">
        <v>165</v>
      </c>
      <c r="D30" s="102" t="s">
        <v>148</v>
      </c>
      <c r="E30" s="102">
        <v>380</v>
      </c>
      <c r="F30" s="102" t="s">
        <v>166</v>
      </c>
    </row>
    <row r="31" spans="1:6" x14ac:dyDescent="0.25">
      <c r="A31" s="105">
        <v>44011</v>
      </c>
      <c r="B31" s="107" t="s">
        <v>167</v>
      </c>
      <c r="C31" s="106" t="s">
        <v>176</v>
      </c>
      <c r="D31" s="106">
        <v>180</v>
      </c>
      <c r="E31" s="106">
        <v>200</v>
      </c>
      <c r="F31" s="106" t="s">
        <v>166</v>
      </c>
    </row>
    <row r="32" spans="1:6" x14ac:dyDescent="0.25">
      <c r="A32" s="101">
        <v>44011</v>
      </c>
      <c r="B32" s="103" t="s">
        <v>169</v>
      </c>
      <c r="C32" s="104" t="s">
        <v>165</v>
      </c>
      <c r="D32" s="102">
        <v>188</v>
      </c>
      <c r="E32" s="102">
        <v>200</v>
      </c>
      <c r="F32" s="102" t="s">
        <v>166</v>
      </c>
    </row>
    <row r="33" spans="1:6" x14ac:dyDescent="0.25">
      <c r="A33" s="105">
        <v>43837</v>
      </c>
      <c r="B33" s="107" t="s">
        <v>170</v>
      </c>
      <c r="C33" s="108" t="s">
        <v>165</v>
      </c>
      <c r="D33" s="106">
        <v>264</v>
      </c>
      <c r="E33" s="106">
        <v>243</v>
      </c>
      <c r="F33" s="106" t="s">
        <v>166</v>
      </c>
    </row>
    <row r="34" spans="1:6" x14ac:dyDescent="0.25">
      <c r="A34" s="101">
        <v>43718</v>
      </c>
      <c r="B34" s="103" t="s">
        <v>170</v>
      </c>
      <c r="C34" s="104" t="s">
        <v>165</v>
      </c>
      <c r="D34" s="102">
        <v>285</v>
      </c>
      <c r="E34" s="102">
        <v>264</v>
      </c>
      <c r="F34" s="102" t="s">
        <v>166</v>
      </c>
    </row>
    <row r="35" spans="1:6" x14ac:dyDescent="0.25">
      <c r="A35" s="105">
        <v>43642</v>
      </c>
      <c r="B35" s="107" t="s">
        <v>171</v>
      </c>
      <c r="C35" s="108" t="s">
        <v>165</v>
      </c>
      <c r="D35" s="106">
        <v>220</v>
      </c>
      <c r="E35" s="106">
        <v>200</v>
      </c>
      <c r="F35" s="106" t="s">
        <v>166</v>
      </c>
    </row>
    <row r="36" spans="1:6" x14ac:dyDescent="0.25">
      <c r="A36" s="101">
        <v>43622</v>
      </c>
      <c r="B36" s="103" t="s">
        <v>170</v>
      </c>
      <c r="C36" s="104" t="s">
        <v>165</v>
      </c>
      <c r="D36" s="102" t="s">
        <v>148</v>
      </c>
      <c r="E36" s="102">
        <v>285</v>
      </c>
      <c r="F36" s="102" t="s">
        <v>166</v>
      </c>
    </row>
    <row r="37" spans="1:6" x14ac:dyDescent="0.25">
      <c r="A37" s="105">
        <v>43621</v>
      </c>
      <c r="B37" s="107" t="s">
        <v>173</v>
      </c>
      <c r="C37" s="106" t="s">
        <v>174</v>
      </c>
      <c r="D37" s="106" t="s">
        <v>148</v>
      </c>
      <c r="E37" s="106">
        <v>170</v>
      </c>
      <c r="F37" s="106" t="s">
        <v>177</v>
      </c>
    </row>
    <row r="38" spans="1:6" x14ac:dyDescent="0.25">
      <c r="A38" s="101">
        <v>43613</v>
      </c>
      <c r="B38" s="103" t="s">
        <v>170</v>
      </c>
      <c r="C38" s="104" t="s">
        <v>165</v>
      </c>
      <c r="D38" s="102">
        <v>285</v>
      </c>
      <c r="E38" s="102">
        <v>285</v>
      </c>
      <c r="F38" s="102" t="s">
        <v>166</v>
      </c>
    </row>
    <row r="39" spans="1:6" x14ac:dyDescent="0.25">
      <c r="A39" s="105">
        <v>43536</v>
      </c>
      <c r="B39" s="107" t="s">
        <v>170</v>
      </c>
      <c r="C39" s="108" t="s">
        <v>165</v>
      </c>
      <c r="D39" s="106" t="s">
        <v>148</v>
      </c>
      <c r="E39" s="106">
        <v>285</v>
      </c>
      <c r="F39" s="106" t="s">
        <v>166</v>
      </c>
    </row>
    <row r="40" spans="1:6" x14ac:dyDescent="0.25">
      <c r="A40" s="101">
        <v>43528</v>
      </c>
      <c r="B40" s="103" t="s">
        <v>170</v>
      </c>
      <c r="C40" s="104" t="s">
        <v>165</v>
      </c>
      <c r="D40" s="102" t="s">
        <v>148</v>
      </c>
      <c r="E40" s="102">
        <v>285</v>
      </c>
      <c r="F40" s="102" t="s">
        <v>166</v>
      </c>
    </row>
    <row r="41" spans="1:6" x14ac:dyDescent="0.25">
      <c r="A41" s="105">
        <v>43453</v>
      </c>
      <c r="B41" s="107" t="s">
        <v>173</v>
      </c>
      <c r="C41" s="106" t="s">
        <v>178</v>
      </c>
      <c r="D41" s="106">
        <v>180</v>
      </c>
      <c r="E41" s="106">
        <v>180</v>
      </c>
      <c r="F41" s="106" t="s">
        <v>166</v>
      </c>
    </row>
    <row r="42" spans="1:6" x14ac:dyDescent="0.25">
      <c r="A42" s="101">
        <v>43453</v>
      </c>
      <c r="B42" s="103" t="s">
        <v>170</v>
      </c>
      <c r="C42" s="104" t="s">
        <v>165</v>
      </c>
      <c r="D42" s="102">
        <v>300</v>
      </c>
      <c r="E42" s="102">
        <v>300</v>
      </c>
      <c r="F42" s="102" t="s">
        <v>166</v>
      </c>
    </row>
    <row r="43" spans="1:6" x14ac:dyDescent="0.25">
      <c r="A43" s="105">
        <v>43423</v>
      </c>
      <c r="B43" s="107" t="s">
        <v>170</v>
      </c>
      <c r="C43" s="108" t="s">
        <v>165</v>
      </c>
      <c r="D43" s="106">
        <v>306</v>
      </c>
      <c r="E43" s="106">
        <v>300</v>
      </c>
      <c r="F43" s="106" t="s">
        <v>166</v>
      </c>
    </row>
    <row r="44" spans="1:6" x14ac:dyDescent="0.25">
      <c r="A44" s="101">
        <v>43402</v>
      </c>
      <c r="B44" s="103" t="s">
        <v>170</v>
      </c>
      <c r="C44" s="104" t="s">
        <v>165</v>
      </c>
      <c r="D44" s="102" t="s">
        <v>148</v>
      </c>
      <c r="E44" s="102">
        <v>306</v>
      </c>
      <c r="F44" s="102" t="s">
        <v>166</v>
      </c>
    </row>
    <row r="45" spans="1:6" x14ac:dyDescent="0.25">
      <c r="A45" s="105">
        <v>43370</v>
      </c>
      <c r="B45" s="107" t="s">
        <v>173</v>
      </c>
      <c r="C45" s="106" t="s">
        <v>178</v>
      </c>
      <c r="D45" s="106">
        <v>245</v>
      </c>
      <c r="E45" s="106">
        <v>245</v>
      </c>
      <c r="F45" s="106" t="s">
        <v>166</v>
      </c>
    </row>
    <row r="46" spans="1:6" x14ac:dyDescent="0.25">
      <c r="A46" s="101">
        <v>43370</v>
      </c>
      <c r="B46" s="103" t="s">
        <v>170</v>
      </c>
      <c r="C46" s="104" t="s">
        <v>165</v>
      </c>
      <c r="D46" s="102">
        <v>318</v>
      </c>
      <c r="E46" s="102">
        <v>306</v>
      </c>
      <c r="F46" s="102" t="s">
        <v>166</v>
      </c>
    </row>
    <row r="47" spans="1:6" x14ac:dyDescent="0.25">
      <c r="A47" s="105">
        <v>43353</v>
      </c>
      <c r="B47" s="107" t="s">
        <v>171</v>
      </c>
      <c r="C47" s="108" t="s">
        <v>165</v>
      </c>
      <c r="D47" s="106">
        <v>320</v>
      </c>
      <c r="E47" s="106">
        <v>320</v>
      </c>
      <c r="F47" s="106" t="s">
        <v>166</v>
      </c>
    </row>
    <row r="48" spans="1:6" x14ac:dyDescent="0.25">
      <c r="A48" s="101">
        <v>43321</v>
      </c>
      <c r="B48" s="103" t="s">
        <v>170</v>
      </c>
      <c r="C48" s="104" t="s">
        <v>165</v>
      </c>
      <c r="D48" s="102">
        <v>330</v>
      </c>
      <c r="E48" s="102">
        <v>318</v>
      </c>
      <c r="F48" s="102" t="s">
        <v>166</v>
      </c>
    </row>
    <row r="49" spans="1:6" x14ac:dyDescent="0.25">
      <c r="A49" s="105">
        <v>43238</v>
      </c>
      <c r="B49" s="107" t="s">
        <v>167</v>
      </c>
      <c r="C49" s="106" t="s">
        <v>168</v>
      </c>
      <c r="D49" s="106">
        <v>325</v>
      </c>
      <c r="E49" s="106">
        <v>325</v>
      </c>
      <c r="F49" s="106" t="s">
        <v>172</v>
      </c>
    </row>
    <row r="50" spans="1:6" x14ac:dyDescent="0.25">
      <c r="A50" s="101">
        <v>43179</v>
      </c>
      <c r="B50" s="103" t="s">
        <v>170</v>
      </c>
      <c r="C50" s="104" t="s">
        <v>165</v>
      </c>
      <c r="D50" s="102">
        <v>100</v>
      </c>
      <c r="E50" s="102">
        <v>120</v>
      </c>
      <c r="F50" s="102" t="s">
        <v>166</v>
      </c>
    </row>
    <row r="51" spans="1:6" x14ac:dyDescent="0.25">
      <c r="A51" s="105">
        <v>42983</v>
      </c>
      <c r="B51" s="107" t="s">
        <v>179</v>
      </c>
      <c r="C51" s="108" t="s">
        <v>165</v>
      </c>
      <c r="D51" s="106" t="s">
        <v>148</v>
      </c>
      <c r="E51" s="106">
        <v>330</v>
      </c>
      <c r="F51" s="106" t="s">
        <v>166</v>
      </c>
    </row>
  </sheetData>
  <hyperlinks>
    <hyperlink ref="B2" r:id="rId1" display="https://www.lse.co.uk/share-prices/broker-ratings/brokers/berenberg-bank.html" xr:uid="{CB8528E5-B392-42F2-A494-6B89E11FB1E7}"/>
    <hyperlink ref="B3" r:id="rId2" display="https://www.lse.co.uk/share-prices/broker-ratings/brokers/jp-morgan-cazenove.html" xr:uid="{08DCE623-FB9F-4991-90AD-2A588E845940}"/>
    <hyperlink ref="B4" r:id="rId3" display="https://www.lse.co.uk/share-prices/broker-ratings/brokers/berenberg-bank.html" xr:uid="{9A5C674A-00E6-4B25-8CAF-98B3F7755A14}"/>
    <hyperlink ref="B5" r:id="rId4" display="https://www.lse.co.uk/share-prices/broker-ratings/brokers/deutsche.html" xr:uid="{9E3E7480-A2C4-41C7-85DF-BE58FD1813D4}"/>
    <hyperlink ref="B6" r:id="rId5" display="https://www.lse.co.uk/share-prices/broker-ratings/brokers/berenberg-bank.html" xr:uid="{1F3EEDF4-A713-4FA8-98CE-30005304ACEC}"/>
    <hyperlink ref="B7" r:id="rId6" display="https://www.lse.co.uk/share-prices/broker-ratings/brokers/berenberg-bank.html" xr:uid="{DB15F527-89AB-4007-9151-C4F6B3C6E4DA}"/>
    <hyperlink ref="B8" r:id="rId7" display="https://www.lse.co.uk/share-prices/broker-ratings/brokers/canaccord-genuity.html" xr:uid="{58CE1955-BFFE-441F-BB26-74D48B8C83F3}"/>
    <hyperlink ref="B9" r:id="rId8" display="https://www.lse.co.uk/share-prices/broker-ratings/brokers/berenberg-bank.html" xr:uid="{2AC535BA-B1F3-4372-A731-9CD89CA4215B}"/>
    <hyperlink ref="B10" r:id="rId9" display="https://www.lse.co.uk/share-prices/broker-ratings/brokers/berenberg-bank.html" xr:uid="{DC21E183-0203-4AD4-916D-B4DDE68131CE}"/>
    <hyperlink ref="B11" r:id="rId10" display="https://www.lse.co.uk/share-prices/broker-ratings/brokers/canaccord-genuity.html" xr:uid="{3539B167-B6B9-4841-B8A3-0811B551C4A3}"/>
    <hyperlink ref="B12" r:id="rId11" display="https://www.lse.co.uk/share-prices/broker-ratings/brokers/berenberg-bank.html" xr:uid="{1E6464BE-BA4C-4DB4-99D1-1AFC0F26D87D}"/>
    <hyperlink ref="B13" r:id="rId12" display="https://www.lse.co.uk/share-prices/broker-ratings/brokers/berenberg-bank.html" xr:uid="{4DD6062E-D0D0-430A-8E0F-ED80CCD42635}"/>
    <hyperlink ref="B14" r:id="rId13" display="https://www.lse.co.uk/share-prices/broker-ratings/brokers/berenberg-bank.html" xr:uid="{DC196E0F-540B-4631-B296-F3D8FDB8778E}"/>
    <hyperlink ref="B15" r:id="rId14" display="https://www.lse.co.uk/share-prices/broker-ratings/brokers/peel-hunt-limited.html" xr:uid="{57B203D9-9567-461A-A130-BC083263F1AF}"/>
    <hyperlink ref="B16" r:id="rId15" display="https://www.lse.co.uk/share-prices/broker-ratings/brokers/peel-hunt-limited.html" xr:uid="{8EC966A5-6ACC-4AAB-9435-03E1B1607196}"/>
    <hyperlink ref="B17" r:id="rId16" display="https://www.lse.co.uk/share-prices/broker-ratings/brokers/canaccord-genuity.html" xr:uid="{EDD1E198-5C60-44F6-97DA-63E9EC236859}"/>
    <hyperlink ref="B18" r:id="rId17" display="https://www.lse.co.uk/share-prices/broker-ratings/brokers/berenberg-bank.html" xr:uid="{596FC3A8-3FDE-48D6-AF3C-1BB109FF8BBF}"/>
    <hyperlink ref="B19" r:id="rId18" display="https://www.lse.co.uk/share-prices/broker-ratings/brokers/canaccord-genuity.html" xr:uid="{52095273-6900-4552-89A4-C49CFE7392A7}"/>
    <hyperlink ref="B20" r:id="rId19" display="https://www.lse.co.uk/share-prices/broker-ratings/brokers/berenberg-bank.html" xr:uid="{4520EA1E-7AEE-4296-ACAC-8B8E74ECB628}"/>
    <hyperlink ref="B21" r:id="rId20" display="https://www.lse.co.uk/share-prices/broker-ratings/brokers/berenberg-bank.html" xr:uid="{24639800-649A-4F74-8975-E954002F5BF2}"/>
    <hyperlink ref="B22" r:id="rId21" display="https://www.lse.co.uk/share-prices/broker-ratings/brokers/berenberg-bank.html" xr:uid="{8E58D449-6C06-442D-93AE-5E422A6FFE4A}"/>
    <hyperlink ref="B23" r:id="rId22" display="https://www.lse.co.uk/share-prices/broker-ratings/brokers/peel-hunt-limited.html" xr:uid="{60451EF3-FB60-4E80-B3B8-712032C076CD}"/>
    <hyperlink ref="B24" r:id="rId23" display="https://www.lse.co.uk/share-prices/broker-ratings/brokers/canaccord-genuity.html" xr:uid="{B21DC642-3C3D-4BC8-8764-7A95D62D9AD0}"/>
    <hyperlink ref="B25" r:id="rId24" display="https://www.lse.co.uk/share-prices/broker-ratings/brokers/canaccord-genuity.html" xr:uid="{4EA68D93-9E09-4FBA-903E-4F51B5ACF81D}"/>
    <hyperlink ref="B26" r:id="rId25" display="https://www.lse.co.uk/share-prices/broker-ratings/brokers/berenberg-bank.html" xr:uid="{73FA9D82-B3AE-4EC7-AA92-A8760C69F4A3}"/>
    <hyperlink ref="B27" r:id="rId26" display="https://www.lse.co.uk/share-prices/broker-ratings/brokers/jp-morgan-cazenove.html" xr:uid="{BE82B606-E4EE-4AC2-BC47-D38E88A1C011}"/>
    <hyperlink ref="B28" r:id="rId27" display="https://www.lse.co.uk/share-prices/broker-ratings/brokers/peel-hunt-limited.html" xr:uid="{7759DED7-B450-426F-87B4-21B0805282D9}"/>
    <hyperlink ref="B29" r:id="rId28" display="https://www.lse.co.uk/share-prices/broker-ratings/brokers/numis.html" xr:uid="{3BE01224-2D25-468D-8A82-DD3444BA192E}"/>
    <hyperlink ref="B30" r:id="rId29" display="https://www.lse.co.uk/share-prices/broker-ratings/brokers/jefferies.html" xr:uid="{8559938B-3E7E-4CEF-AEED-5C822F48A4ED}"/>
    <hyperlink ref="B31" r:id="rId30" display="https://www.lse.co.uk/share-prices/broker-ratings/brokers/jp-morgan-cazenove.html" xr:uid="{D61C85FA-9B39-4ACF-B4E3-443E3B53318F}"/>
    <hyperlink ref="B32" r:id="rId31" display="https://www.lse.co.uk/share-prices/broker-ratings/brokers/deutsche.html" xr:uid="{06E6F0DE-0D1F-4E3E-853F-5BA95B125CCF}"/>
    <hyperlink ref="B33" r:id="rId32" display="https://www.lse.co.uk/share-prices/broker-ratings/brokers/canaccord-genuity.html" xr:uid="{939CF15D-321A-42DF-978A-84227C58E228}"/>
    <hyperlink ref="B34" r:id="rId33" display="https://www.lse.co.uk/share-prices/broker-ratings/brokers/canaccord-genuity.html" xr:uid="{6EBC6D2D-3E3B-4EB5-B368-F744E4D66EC0}"/>
    <hyperlink ref="B35" r:id="rId34" display="https://www.lse.co.uk/share-prices/broker-ratings/brokers/peel-hunt-limited.html" xr:uid="{AB326596-7A39-4A2C-B9F9-B900E2319E26}"/>
    <hyperlink ref="B36" r:id="rId35" display="https://www.lse.co.uk/share-prices/broker-ratings/brokers/canaccord-genuity.html" xr:uid="{ADEC6618-40CD-4588-9C95-D2812C46B794}"/>
    <hyperlink ref="B37" r:id="rId36" display="https://www.lse.co.uk/share-prices/broker-ratings/brokers/numis.html" xr:uid="{7EF77ACD-50AF-4F7C-9EF4-AA7C10809C97}"/>
    <hyperlink ref="B38" r:id="rId37" display="https://www.lse.co.uk/share-prices/broker-ratings/brokers/canaccord-genuity.html" xr:uid="{1B366A07-A535-4E90-96BE-09515C88FFF5}"/>
    <hyperlink ref="B39" r:id="rId38" display="https://www.lse.co.uk/share-prices/broker-ratings/brokers/canaccord-genuity.html" xr:uid="{6100D78B-B352-45F4-A1A3-EC0379A510DE}"/>
    <hyperlink ref="B40" r:id="rId39" display="https://www.lse.co.uk/share-prices/broker-ratings/brokers/canaccord-genuity.html" xr:uid="{3BAB6824-128A-4979-AEA7-0E31A6215FC7}"/>
    <hyperlink ref="B41" r:id="rId40" display="https://www.lse.co.uk/share-prices/broker-ratings/brokers/numis.html" xr:uid="{DB985861-547F-45AE-ADB4-A9F1E75E6ACA}"/>
    <hyperlink ref="B42" r:id="rId41" display="https://www.lse.co.uk/share-prices/broker-ratings/brokers/canaccord-genuity.html" xr:uid="{74D86C0B-FA29-41DE-97B6-C0A83EC5DFD2}"/>
    <hyperlink ref="B43" r:id="rId42" display="https://www.lse.co.uk/share-prices/broker-ratings/brokers/canaccord-genuity.html" xr:uid="{FEC2C793-EDED-4072-AAA4-F29E7FDD372C}"/>
    <hyperlink ref="B44" r:id="rId43" display="https://www.lse.co.uk/share-prices/broker-ratings/brokers/canaccord-genuity.html" xr:uid="{71B244D5-F356-40FE-A0EF-74CE55F897CF}"/>
    <hyperlink ref="B45" r:id="rId44" display="https://www.lse.co.uk/share-prices/broker-ratings/brokers/numis.html" xr:uid="{221CFFCB-2548-4AEA-ABD2-F5045CDB1464}"/>
    <hyperlink ref="B46" r:id="rId45" display="https://www.lse.co.uk/share-prices/broker-ratings/brokers/canaccord-genuity.html" xr:uid="{41C32740-1C10-4591-9E21-FF4444810075}"/>
    <hyperlink ref="B47" r:id="rId46" display="https://www.lse.co.uk/share-prices/broker-ratings/brokers/peel-hunt-limited.html" xr:uid="{E3BF3DC8-62B3-4F76-A062-BF66EC19A4D9}"/>
    <hyperlink ref="B48" r:id="rId47" display="https://www.lse.co.uk/share-prices/broker-ratings/brokers/canaccord-genuity.html" xr:uid="{41876071-83FE-4B1B-A05F-8813726CDD6C}"/>
    <hyperlink ref="B49" r:id="rId48" display="https://www.lse.co.uk/share-prices/broker-ratings/brokers/jp-morgan-cazenove.html" xr:uid="{76B91328-DE8A-4FFA-97EA-E50254B8EF53}"/>
    <hyperlink ref="B50" r:id="rId49" display="https://www.lse.co.uk/share-prices/broker-ratings/brokers/canaccord-genuity.html" xr:uid="{D85D1D5B-9EA4-4C3E-A286-1FC0B81758A7}"/>
    <hyperlink ref="B51" r:id="rId50" display="https://www.lse.co.uk/share-prices/broker-ratings/brokers/bryan-garnier-co.html" xr:uid="{3A41A9C5-7A96-409A-9434-846294DFAAB2}"/>
  </hyperlinks>
  <pageMargins left="0.7" right="0.7" top="0.75" bottom="0.75" header="0.3" footer="0.3"/>
  <pageSetup paperSize="256" orientation="portrait" horizontalDpi="203" verticalDpi="203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Historical Projections</vt:lpstr>
      <vt:lpstr>Broker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2022-05-19T17:47:56Z</dcterms:created>
  <dcterms:modified xsi:type="dcterms:W3CDTF">2023-04-20T09:58:26Z</dcterms:modified>
</cp:coreProperties>
</file>