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FD52B4CC-32EA-46FD-8EE1-C006754048D3}" xr6:coauthVersionLast="36" xr6:coauthVersionMax="36" xr10:uidLastSave="{00000000-0000-0000-0000-000000000000}"/>
  <bookViews>
    <workbookView xWindow="0" yWindow="0" windowWidth="27885" windowHeight="11340" activeTab="1" xr2:uid="{37C1F632-1354-44A5-BE18-53817A0497AE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8" i="2" l="1"/>
  <c r="J87" i="2"/>
  <c r="J86" i="2"/>
  <c r="I87" i="2"/>
  <c r="I86" i="2"/>
  <c r="I88" i="2"/>
  <c r="I33" i="2"/>
  <c r="E31" i="2"/>
  <c r="E30" i="2"/>
  <c r="E29" i="2"/>
  <c r="E28" i="2"/>
  <c r="E10" i="2"/>
  <c r="E6" i="2"/>
  <c r="E12" i="2"/>
  <c r="E7" i="2"/>
  <c r="K34" i="2"/>
  <c r="J34" i="2"/>
  <c r="J28" i="2"/>
  <c r="J29" i="2"/>
  <c r="J30" i="2"/>
  <c r="J31" i="2"/>
  <c r="J25" i="2"/>
  <c r="J23" i="2"/>
  <c r="J21" i="2"/>
  <c r="J20" i="2"/>
  <c r="J19" i="2"/>
  <c r="J16" i="2"/>
  <c r="J15" i="2"/>
  <c r="J14" i="2"/>
  <c r="J26" i="2"/>
  <c r="J13" i="2"/>
  <c r="J12" i="2"/>
  <c r="J11" i="2"/>
  <c r="J10" i="2"/>
  <c r="J9" i="2"/>
  <c r="J8" i="2"/>
  <c r="J7" i="2"/>
  <c r="J6" i="2"/>
  <c r="J5" i="2"/>
  <c r="J4" i="2"/>
  <c r="I34" i="2"/>
  <c r="I31" i="2"/>
  <c r="I30" i="2"/>
  <c r="I29" i="2"/>
  <c r="I28" i="2"/>
  <c r="I10" i="2"/>
  <c r="I12" i="2" s="1"/>
  <c r="I6" i="2"/>
  <c r="I7" i="2" s="1"/>
  <c r="E13" i="2" l="1"/>
  <c r="E18" i="2" s="1"/>
  <c r="E22" i="2" s="1"/>
  <c r="E24" i="2" s="1"/>
  <c r="E25" i="2" s="1"/>
  <c r="J18" i="2"/>
  <c r="J22" i="2" s="1"/>
  <c r="J24" i="2" s="1"/>
  <c r="I13" i="2"/>
  <c r="I18" i="2" s="1"/>
  <c r="I22" i="2" s="1"/>
  <c r="I24" i="2" s="1"/>
  <c r="I25" i="2" s="1"/>
  <c r="U28" i="2"/>
  <c r="U26" i="2"/>
  <c r="U23" i="2"/>
  <c r="U17" i="2"/>
  <c r="U16" i="2"/>
  <c r="U15" i="2"/>
  <c r="U14" i="2"/>
  <c r="N26" i="2"/>
  <c r="M26" i="2"/>
  <c r="M21" i="2"/>
  <c r="N21" i="2" s="1"/>
  <c r="M20" i="2"/>
  <c r="N20" i="2" s="1"/>
  <c r="M19" i="2"/>
  <c r="N18" i="2"/>
  <c r="M18" i="2"/>
  <c r="N15" i="2"/>
  <c r="M15" i="2"/>
  <c r="U12" i="2"/>
  <c r="U13" i="2"/>
  <c r="N12" i="2"/>
  <c r="M12" i="2"/>
  <c r="N13" i="2"/>
  <c r="M13" i="2"/>
  <c r="U33" i="2"/>
  <c r="U7" i="2"/>
  <c r="N7" i="2"/>
  <c r="M7" i="2"/>
  <c r="S80" i="2"/>
  <c r="S79" i="2"/>
  <c r="T80" i="2"/>
  <c r="T79" i="2"/>
  <c r="S78" i="2"/>
  <c r="T78" i="2"/>
  <c r="S76" i="2"/>
  <c r="T76" i="2"/>
  <c r="R75" i="2"/>
  <c r="S75" i="2"/>
  <c r="T75" i="2"/>
  <c r="T70" i="2"/>
  <c r="T72" i="2" s="1"/>
  <c r="S70" i="2"/>
  <c r="S72" i="2" s="1"/>
  <c r="T67" i="2"/>
  <c r="T68" i="2" s="1"/>
  <c r="S67" i="2"/>
  <c r="S68" i="2" s="1"/>
  <c r="T65" i="2"/>
  <c r="S65" i="2"/>
  <c r="S49" i="2"/>
  <c r="T49" i="2"/>
  <c r="R62" i="2"/>
  <c r="Q62" i="2"/>
  <c r="T58" i="2"/>
  <c r="T62" i="2" s="1"/>
  <c r="S58" i="2"/>
  <c r="S62" i="2" s="1"/>
  <c r="R58" i="2"/>
  <c r="Q58" i="2"/>
  <c r="R53" i="2"/>
  <c r="T52" i="2"/>
  <c r="S52" i="2"/>
  <c r="R52" i="2"/>
  <c r="Q52" i="2"/>
  <c r="Q53" i="2" s="1"/>
  <c r="T46" i="2"/>
  <c r="S46" i="2"/>
  <c r="R46" i="2"/>
  <c r="Q46" i="2"/>
  <c r="N19" i="2" l="1"/>
  <c r="N22" i="2" s="1"/>
  <c r="N24" i="2" s="1"/>
  <c r="N25" i="2" s="1"/>
  <c r="M22" i="2"/>
  <c r="M24" i="2" s="1"/>
  <c r="M25" i="2" s="1"/>
  <c r="U20" i="2"/>
  <c r="U21" i="2"/>
  <c r="S53" i="2"/>
  <c r="T53" i="2"/>
  <c r="T88" i="2"/>
  <c r="S88" i="2"/>
  <c r="R88" i="2"/>
  <c r="C28" i="1"/>
  <c r="S33" i="2"/>
  <c r="T33" i="2"/>
  <c r="R31" i="2"/>
  <c r="R30" i="2"/>
  <c r="R29" i="2"/>
  <c r="R28" i="2"/>
  <c r="R21" i="2"/>
  <c r="R12" i="2"/>
  <c r="R7" i="2"/>
  <c r="S12" i="2"/>
  <c r="S7" i="2"/>
  <c r="T12" i="2"/>
  <c r="T7" i="2"/>
  <c r="J65" i="2"/>
  <c r="J49" i="2"/>
  <c r="K68" i="2"/>
  <c r="K67" i="2"/>
  <c r="K65" i="2"/>
  <c r="K58" i="2"/>
  <c r="J58" i="2"/>
  <c r="J62" i="2" s="1"/>
  <c r="I58" i="2"/>
  <c r="I62" i="2" s="1"/>
  <c r="H58" i="2"/>
  <c r="H62" i="2" s="1"/>
  <c r="G58" i="2"/>
  <c r="F58" i="2"/>
  <c r="F62" i="2" s="1"/>
  <c r="E58" i="2"/>
  <c r="E62" i="2" s="1"/>
  <c r="D58" i="2"/>
  <c r="D62" i="2" s="1"/>
  <c r="C58" i="2"/>
  <c r="C62" i="2" s="1"/>
  <c r="K49" i="2"/>
  <c r="F72" i="2"/>
  <c r="E72" i="2"/>
  <c r="D72" i="2"/>
  <c r="C72" i="2"/>
  <c r="K70" i="2"/>
  <c r="K72" i="2" s="1"/>
  <c r="J70" i="2"/>
  <c r="J72" i="2" s="1"/>
  <c r="I70" i="2"/>
  <c r="I72" i="2" s="1"/>
  <c r="H70" i="2"/>
  <c r="H72" i="2" s="1"/>
  <c r="G70" i="2"/>
  <c r="G72" i="2" s="1"/>
  <c r="F70" i="2"/>
  <c r="E70" i="2"/>
  <c r="D70" i="2"/>
  <c r="C70" i="2"/>
  <c r="K62" i="2"/>
  <c r="G62" i="2"/>
  <c r="F53" i="2"/>
  <c r="E53" i="2"/>
  <c r="C53" i="2"/>
  <c r="K52" i="2"/>
  <c r="J52" i="2"/>
  <c r="J53" i="2" s="1"/>
  <c r="I52" i="2"/>
  <c r="I53" i="2" s="1"/>
  <c r="H52" i="2"/>
  <c r="H53" i="2" s="1"/>
  <c r="G52" i="2"/>
  <c r="G53" i="2" s="1"/>
  <c r="F52" i="2"/>
  <c r="E52" i="2"/>
  <c r="D52" i="2"/>
  <c r="D53" i="2" s="1"/>
  <c r="C52" i="2"/>
  <c r="K46" i="2"/>
  <c r="J46" i="2"/>
  <c r="I46" i="2"/>
  <c r="H46" i="2"/>
  <c r="G46" i="2"/>
  <c r="F46" i="2"/>
  <c r="E46" i="2"/>
  <c r="D46" i="2"/>
  <c r="C46" i="2"/>
  <c r="H88" i="2"/>
  <c r="H87" i="2"/>
  <c r="H86" i="2"/>
  <c r="G88" i="2"/>
  <c r="L87" i="2"/>
  <c r="L86" i="2"/>
  <c r="U19" i="2" l="1"/>
  <c r="R13" i="2"/>
  <c r="R18" i="2" s="1"/>
  <c r="R22" i="2" s="1"/>
  <c r="R24" i="2" s="1"/>
  <c r="R25" i="2" s="1"/>
  <c r="S13" i="2"/>
  <c r="T13" i="2"/>
  <c r="K53" i="2"/>
  <c r="S18" i="2" l="1"/>
  <c r="S28" i="2"/>
  <c r="T18" i="2"/>
  <c r="T28" i="2"/>
  <c r="S22" i="2" l="1"/>
  <c r="S29" i="2"/>
  <c r="T22" i="2"/>
  <c r="T29" i="2"/>
  <c r="S24" i="2" l="1"/>
  <c r="S31" i="2"/>
  <c r="T24" i="2"/>
  <c r="T31" i="2"/>
  <c r="K88" i="2"/>
  <c r="D30" i="1"/>
  <c r="C30" i="1"/>
  <c r="C10" i="1"/>
  <c r="C9" i="1"/>
  <c r="L72" i="2"/>
  <c r="L70" i="2"/>
  <c r="L53" i="2"/>
  <c r="L52" i="2"/>
  <c r="L49" i="2"/>
  <c r="L58" i="2"/>
  <c r="L62" i="2" s="1"/>
  <c r="L65" i="2" s="1"/>
  <c r="L46" i="2"/>
  <c r="H34" i="2"/>
  <c r="L34" i="2"/>
  <c r="K33" i="2"/>
  <c r="G31" i="2"/>
  <c r="G30" i="2"/>
  <c r="G29" i="2"/>
  <c r="G28" i="2"/>
  <c r="G25" i="2"/>
  <c r="G12" i="2"/>
  <c r="G7" i="2"/>
  <c r="K28" i="2"/>
  <c r="K18" i="2"/>
  <c r="U18" i="2" s="1"/>
  <c r="K12" i="2"/>
  <c r="K13" i="2" s="1"/>
  <c r="K7" i="2"/>
  <c r="L33" i="2"/>
  <c r="H31" i="2"/>
  <c r="H30" i="2"/>
  <c r="H29" i="2"/>
  <c r="H28" i="2"/>
  <c r="L31" i="2"/>
  <c r="L30" i="2"/>
  <c r="L29" i="2"/>
  <c r="L28" i="2"/>
  <c r="H25" i="2"/>
  <c r="H12" i="2"/>
  <c r="H7" i="2"/>
  <c r="L25" i="2"/>
  <c r="L24" i="2"/>
  <c r="L22" i="2"/>
  <c r="L12" i="2"/>
  <c r="L13" i="2" s="1"/>
  <c r="L18" i="2" s="1"/>
  <c r="L7" i="2"/>
  <c r="C8" i="1"/>
  <c r="U22" i="2" l="1"/>
  <c r="U29" i="2"/>
  <c r="K29" i="2"/>
  <c r="K22" i="2"/>
  <c r="S25" i="2"/>
  <c r="S30" i="2"/>
  <c r="T25" i="2"/>
  <c r="T30" i="2"/>
  <c r="L67" i="2"/>
  <c r="L68" i="2" s="1"/>
  <c r="C35" i="1" s="1"/>
  <c r="C11" i="1"/>
  <c r="G13" i="2"/>
  <c r="G18" i="2" s="1"/>
  <c r="G22" i="2" s="1"/>
  <c r="G24" i="2" s="1"/>
  <c r="H13" i="2"/>
  <c r="H18" i="2" s="1"/>
  <c r="H22" i="2" s="1"/>
  <c r="H24" i="2" s="1"/>
  <c r="K24" i="2" l="1"/>
  <c r="K31" i="2"/>
  <c r="U31" i="2"/>
  <c r="U24" i="2"/>
  <c r="C12" i="1"/>
  <c r="U30" i="2" l="1"/>
  <c r="U25" i="2"/>
  <c r="K25" i="2"/>
  <c r="K30" i="2"/>
  <c r="L88" i="2" l="1"/>
</calcChain>
</file>

<file path=xl/sharedStrings.xml><?xml version="1.0" encoding="utf-8"?>
<sst xmlns="http://schemas.openxmlformats.org/spreadsheetml/2006/main" count="144" uniqueCount="122">
  <si>
    <t>$TOST</t>
  </si>
  <si>
    <t>Toast, inc.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</si>
  <si>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</si>
  <si>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</si>
  <si>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</si>
  <si>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</si>
  <si>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</si>
  <si>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</si>
  <si>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</si>
  <si>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</si>
  <si>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</si>
  <si>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</si>
  <si>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</si>
  <si>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Profile</t>
  </si>
  <si>
    <t>HQ</t>
  </si>
  <si>
    <t>Founded</t>
  </si>
  <si>
    <t>IPO</t>
  </si>
  <si>
    <t>Clients</t>
  </si>
  <si>
    <t>Update</t>
  </si>
  <si>
    <t>IR</t>
  </si>
  <si>
    <t>Valuation Metrics</t>
  </si>
  <si>
    <t>P/B</t>
  </si>
  <si>
    <t>P/S</t>
  </si>
  <si>
    <t>EV/S</t>
  </si>
  <si>
    <t>P/E</t>
  </si>
  <si>
    <t>EV/E</t>
  </si>
  <si>
    <t>Key Events</t>
  </si>
  <si>
    <t>Link</t>
  </si>
  <si>
    <t>Restaurant POS &amp; Management Software</t>
  </si>
  <si>
    <t>Boston, MA</t>
  </si>
  <si>
    <t>Opti Systems Inc changes it's corporation name to Toast Inc.</t>
  </si>
  <si>
    <t>Co-Found</t>
  </si>
  <si>
    <t>Aman Narang</t>
  </si>
  <si>
    <t>Pres</t>
  </si>
  <si>
    <t>Stephen Fredette</t>
  </si>
  <si>
    <t>Elena Gomez</t>
  </si>
  <si>
    <t>CTO</t>
  </si>
  <si>
    <t>Deborah Chrapaty</t>
  </si>
  <si>
    <t>Q124</t>
  </si>
  <si>
    <t>Q224</t>
  </si>
  <si>
    <t>Q324</t>
  </si>
  <si>
    <t>Q424</t>
  </si>
  <si>
    <t>Q123</t>
  </si>
  <si>
    <t>Q223</t>
  </si>
  <si>
    <t>Q323</t>
  </si>
  <si>
    <t>Q423</t>
  </si>
  <si>
    <t>Subscription</t>
  </si>
  <si>
    <t>Financial Tech</t>
  </si>
  <si>
    <t>Hardware</t>
  </si>
  <si>
    <t>Revenue</t>
  </si>
  <si>
    <t>COGS</t>
  </si>
  <si>
    <t>Amortisation</t>
  </si>
  <si>
    <t>Gross Profit</t>
  </si>
  <si>
    <t>S&amp;M</t>
  </si>
  <si>
    <t>R&amp;D</t>
  </si>
  <si>
    <t>G&amp;A</t>
  </si>
  <si>
    <t>Restructring</t>
  </si>
  <si>
    <t>Operating Income</t>
  </si>
  <si>
    <t>Interest Income</t>
  </si>
  <si>
    <t>Change in Warrant</t>
  </si>
  <si>
    <t>Other Income</t>
  </si>
  <si>
    <t>Pretax Income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</si>
  <si>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</si>
  <si>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</si>
  <si>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</si>
  <si>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</si>
  <si>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</si>
  <si>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</si>
  <si>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</si>
  <si>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</si>
  <si>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Revenue Q/Q</t>
  </si>
  <si>
    <t>Balance Sheet</t>
  </si>
  <si>
    <t>Marketable Securities</t>
  </si>
  <si>
    <t>A/R</t>
  </si>
  <si>
    <t>Inventories</t>
  </si>
  <si>
    <t>OCA</t>
  </si>
  <si>
    <t>TCA</t>
  </si>
  <si>
    <t>PP&amp;E</t>
  </si>
  <si>
    <t>ROU</t>
  </si>
  <si>
    <t>Intangibles+Goodwill</t>
  </si>
  <si>
    <t>Restricted Cash</t>
  </si>
  <si>
    <t>Other NCA</t>
  </si>
  <si>
    <t>TNCA</t>
  </si>
  <si>
    <t>Assets</t>
  </si>
  <si>
    <t>A/P</t>
  </si>
  <si>
    <t>Deferred Revenue</t>
  </si>
  <si>
    <t>Accrued Expenses</t>
  </si>
  <si>
    <t>TCL</t>
  </si>
  <si>
    <t>Warrants</t>
  </si>
  <si>
    <t>Operating Lease</t>
  </si>
  <si>
    <t>Other LTL</t>
  </si>
  <si>
    <t>Liabilities</t>
  </si>
  <si>
    <t>S/E</t>
  </si>
  <si>
    <t>S/E+L</t>
  </si>
  <si>
    <t>Book Value</t>
  </si>
  <si>
    <t>Book Value per Share</t>
  </si>
  <si>
    <t>Share Price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</si>
  <si>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</si>
  <si>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</si>
  <si>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</si>
  <si>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</si>
  <si>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</si>
  <si>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</si>
  <si>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</si>
  <si>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</si>
  <si>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</si>
  <si>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</si>
  <si>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</si>
  <si>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</si>
  <si>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</si>
  <si>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Q122</t>
  </si>
  <si>
    <t>Q222</t>
  </si>
  <si>
    <t>Q322</t>
  </si>
  <si>
    <t>Q422</t>
  </si>
  <si>
    <t>Cashflow</t>
  </si>
  <si>
    <t>CFFO</t>
  </si>
  <si>
    <t>CapEx</t>
  </si>
  <si>
    <t>-</t>
  </si>
  <si>
    <t>Non-Finance Metrics</t>
  </si>
  <si>
    <t>Employees</t>
  </si>
  <si>
    <t>Emply.</t>
  </si>
  <si>
    <t>Toast announces restructuring plan involving 550~ job 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</si>
</sst>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x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i/>
      <sz val="10"/>
      <color theme="1"/>
      <name val="Arial"/>
      <family val="2"/>
    </font>
    <font>
      <i/>
      <sz val="8"/>
      <color theme="1" tint="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4" xfId="0" applyFont="1" applyFill="1" applyBorder="1"/>
    <xf numFmtId="0" fontId="1" fillId="0" borderId="0" xfId="0" applyFont="1" applyBorder="1"/>
    <xf numFmtId="0" fontId="2" fillId="2" borderId="6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17" fontId="2" fillId="2" borderId="6" xfId="0" applyNumberFormat="1" applyFont="1" applyFill="1" applyBorder="1" applyAlignment="1">
      <alignment horizontal="center"/>
    </xf>
    <xf numFmtId="0" fontId="4" fillId="0" borderId="0" xfId="1" applyFont="1" applyAlignment="1">
      <alignment horizontal="right"/>
    </xf>
    <xf numFmtId="3" fontId="1" fillId="0" borderId="0" xfId="0" applyNumberFormat="1" applyFont="1" applyBorder="1"/>
    <xf numFmtId="3" fontId="1" fillId="0" borderId="7" xfId="0" applyNumberFormat="1" applyFont="1" applyBorder="1"/>
    <xf numFmtId="0" fontId="5" fillId="0" borderId="0" xfId="0" applyFont="1"/>
    <xf numFmtId="4" fontId="1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0" fontId="6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1" fillId="4" borderId="0" xfId="0" applyFont="1" applyFill="1" applyBorder="1" applyAlignment="1">
      <alignment horizontal="center"/>
    </xf>
    <xf numFmtId="17" fontId="1" fillId="4" borderId="5" xfId="0" applyNumberFormat="1" applyFont="1" applyFill="1" applyBorder="1" applyAlignment="1">
      <alignment horizontal="center"/>
    </xf>
    <xf numFmtId="3" fontId="5" fillId="0" borderId="0" xfId="0" applyNumberFormat="1" applyFont="1" applyAlignment="1">
      <alignment horizontal="left" indent="1"/>
    </xf>
    <xf numFmtId="3" fontId="5" fillId="0" borderId="0" xfId="0" applyNumberFormat="1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16" fontId="8" fillId="0" borderId="0" xfId="0" applyNumberFormat="1" applyFont="1" applyAlignment="1">
      <alignment horizontal="right"/>
    </xf>
    <xf numFmtId="164" fontId="1" fillId="0" borderId="0" xfId="0" applyNumberFormat="1" applyFont="1"/>
    <xf numFmtId="17" fontId="2" fillId="2" borderId="4" xfId="0" applyNumberFormat="1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" fontId="10" fillId="0" borderId="0" xfId="0" applyNumberFormat="1" applyFont="1" applyAlignment="1">
      <alignment horizontal="right"/>
    </xf>
    <xf numFmtId="3" fontId="9" fillId="0" borderId="0" xfId="0" applyNumberFormat="1" applyFont="1"/>
    <xf numFmtId="4" fontId="5" fillId="0" borderId="0" xfId="0" applyNumberFormat="1" applyFont="1"/>
    <xf numFmtId="9" fontId="5" fillId="0" borderId="0" xfId="0" applyNumberFormat="1" applyFont="1"/>
    <xf numFmtId="9" fontId="9" fillId="0" borderId="0" xfId="0" applyNumberFormat="1" applyFont="1"/>
    <xf numFmtId="164" fontId="5" fillId="0" borderId="0" xfId="0" applyNumberFormat="1" applyFont="1"/>
    <xf numFmtId="3" fontId="1" fillId="5" borderId="0" xfId="0" applyNumberFormat="1" applyFont="1" applyFill="1"/>
    <xf numFmtId="3" fontId="5" fillId="5" borderId="0" xfId="0" applyNumberFormat="1" applyFont="1" applyFill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3" fontId="1" fillId="4" borderId="0" xfId="0" applyNumberFormat="1" applyFont="1" applyFill="1" applyBorder="1" applyAlignment="1">
      <alignment horizontal="center"/>
    </xf>
    <xf numFmtId="3" fontId="1" fillId="4" borderId="5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9525</xdr:rowOff>
    </xdr:from>
    <xdr:to>
      <xdr:col>12</xdr:col>
      <xdr:colOff>9525</xdr:colOff>
      <xdr:row>90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6FB5FB0-8819-45AB-9296-EC1F230FD5F1}"/>
            </a:ext>
          </a:extLst>
        </xdr:cNvPr>
        <xdr:cNvCxnSpPr/>
      </xdr:nvCxnSpPr>
      <xdr:spPr>
        <a:xfrm>
          <a:off x="7562850" y="9525"/>
          <a:ext cx="0" cy="136017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0</xdr:row>
      <xdr:rowOff>0</xdr:rowOff>
    </xdr:from>
    <xdr:to>
      <xdr:col>20</xdr:col>
      <xdr:colOff>19050</xdr:colOff>
      <xdr:row>90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81C05F7-D4A5-4816-8B94-1946ABE58156}"/>
            </a:ext>
          </a:extLst>
        </xdr:cNvPr>
        <xdr:cNvCxnSpPr/>
      </xdr:nvCxnSpPr>
      <xdr:spPr>
        <a:xfrm>
          <a:off x="12449175" y="0"/>
          <a:ext cx="0" cy="145542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c.gov/ix?doc=/Archives/edgar/data/1650164/000165016424000084/tost-20231231.htm" TargetMode="External"/><Relationship Id="rId2" Type="http://schemas.openxmlformats.org/officeDocument/2006/relationships/hyperlink" Target="https://sec.gov/ix?doc=/Archives/edgar/data/1650164/000165016424000084/tost-20231231.htm" TargetMode="External"/><Relationship Id="rId1" Type="http://schemas.openxmlformats.org/officeDocument/2006/relationships/hyperlink" Target="https://www.sec.gov/ix?doc=/Archives/edgar/data/1650164/000165016424000283/tost-20240630.ht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ec.gov/ix?doc=/Archives/edgar/data/1650164/000165016423000369/tost-2023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767D-E034-4C61-A8CB-E9E6C309CBB2}">
  <dimension ref="A2:O39"/>
  <sheetViews>
    <sheetView workbookViewId="0">
      <selection activeCell="C6" sqref="C6"/>
    </sheetView>
  </sheetViews>
  <sheetFormatPr defaultRowHeight="12.75" x14ac:dyDescent="0.2"/>
  <cols>
    <col min="1" max="16384" width="9.140625" style="1"/>
  </cols>
  <sheetData>
    <row r="2" spans="1:15" x14ac:dyDescent="0.2">
      <c r="B2" s="2" t="s">
        <v>0</v>
      </c>
      <c r="D2" s="1" t="s">
        <v>28</v>
      </c>
    </row>
    <row r="3" spans="1:15" x14ac:dyDescent="0.2">
      <c r="B3" s="2" t="s">
        <v>1</v>
      </c>
    </row>
    <row r="5" spans="1:15" x14ac:dyDescent="0.2">
      <c r="B5" s="53" t="s">
        <v>2</v>
      </c>
      <c r="C5" s="54"/>
      <c r="D5" s="55"/>
      <c r="G5" s="53" t="s">
        <v>26</v>
      </c>
      <c r="H5" s="54"/>
      <c r="I5" s="54"/>
      <c r="J5" s="54"/>
      <c r="K5" s="54"/>
      <c r="L5" s="54"/>
      <c r="M5" s="54"/>
      <c r="N5" s="54"/>
      <c r="O5" s="55"/>
    </row>
    <row r="6" spans="1:15" x14ac:dyDescent="0.2">
      <c r="B6" s="3" t="s">
        <v>3</v>
      </c>
      <c r="C6" s="4">
        <v>31.25</v>
      </c>
      <c r="D6" s="12"/>
      <c r="G6" s="8"/>
      <c r="H6" s="14"/>
      <c r="I6" s="14"/>
      <c r="J6" s="14"/>
      <c r="K6" s="14"/>
      <c r="L6" s="14"/>
      <c r="M6" s="14"/>
      <c r="N6" s="14"/>
      <c r="O6" s="15"/>
    </row>
    <row r="7" spans="1:15" x14ac:dyDescent="0.2">
      <c r="B7" s="3" t="s">
        <v>4</v>
      </c>
      <c r="C7" s="4">
        <v>562</v>
      </c>
      <c r="D7" s="12" t="s">
        <v>39</v>
      </c>
      <c r="G7" s="8"/>
      <c r="H7" s="14"/>
      <c r="I7" s="14"/>
      <c r="J7" s="14"/>
      <c r="K7" s="14"/>
      <c r="L7" s="14"/>
      <c r="M7" s="14"/>
      <c r="N7" s="14"/>
      <c r="O7" s="15"/>
    </row>
    <row r="8" spans="1:15" x14ac:dyDescent="0.2">
      <c r="B8" s="3" t="s">
        <v>5</v>
      </c>
      <c r="C8" s="20">
        <f>C6*C7</f>
        <v>17562.5</v>
      </c>
      <c r="D8" s="12"/>
      <c r="G8" s="38">
        <v>45323</v>
      </c>
      <c r="H8" s="14" t="s">
        <v>121</v>
      </c>
      <c r="I8" s="14"/>
      <c r="J8" s="14"/>
      <c r="K8" s="14"/>
      <c r="L8" s="14"/>
      <c r="M8" s="14"/>
      <c r="N8" s="14"/>
      <c r="O8" s="15"/>
    </row>
    <row r="9" spans="1:15" x14ac:dyDescent="0.2">
      <c r="B9" s="3" t="s">
        <v>6</v>
      </c>
      <c r="C9" s="20">
        <f>+'Financial Model'!L70</f>
        <v>1219</v>
      </c>
      <c r="D9" s="12" t="s">
        <v>39</v>
      </c>
      <c r="G9" s="8"/>
      <c r="H9" s="14"/>
      <c r="I9" s="14"/>
      <c r="J9" s="14"/>
      <c r="K9" s="14"/>
      <c r="L9" s="14"/>
      <c r="M9" s="14"/>
      <c r="N9" s="14"/>
      <c r="O9" s="15"/>
    </row>
    <row r="10" spans="1:15" x14ac:dyDescent="0.2">
      <c r="B10" s="3" t="s">
        <v>7</v>
      </c>
      <c r="C10" s="20">
        <f>+'Financial Model'!L71</f>
        <v>0</v>
      </c>
      <c r="D10" s="12" t="s">
        <v>39</v>
      </c>
      <c r="G10" s="8"/>
      <c r="H10" s="14"/>
      <c r="I10" s="14"/>
      <c r="J10" s="14"/>
      <c r="K10" s="14"/>
      <c r="L10" s="14"/>
      <c r="M10" s="14"/>
      <c r="N10" s="14"/>
      <c r="O10" s="15"/>
    </row>
    <row r="11" spans="1:15" x14ac:dyDescent="0.2">
      <c r="B11" s="3" t="s">
        <v>8</v>
      </c>
      <c r="C11" s="20">
        <f>C9-C10</f>
        <v>1219</v>
      </c>
      <c r="D11" s="12" t="s">
        <v>39</v>
      </c>
      <c r="G11" s="8"/>
      <c r="H11" s="14"/>
      <c r="I11" s="14"/>
      <c r="J11" s="14"/>
      <c r="K11" s="14"/>
      <c r="L11" s="14"/>
      <c r="M11" s="14"/>
      <c r="N11" s="14"/>
      <c r="O11" s="15"/>
    </row>
    <row r="12" spans="1:15" x14ac:dyDescent="0.2">
      <c r="B12" s="5" t="s">
        <v>9</v>
      </c>
      <c r="C12" s="21">
        <f>C8-C11</f>
        <v>16343.5</v>
      </c>
      <c r="D12" s="13"/>
      <c r="G12" s="8"/>
      <c r="H12" s="14"/>
      <c r="I12" s="14"/>
      <c r="J12" s="14"/>
      <c r="K12" s="14"/>
      <c r="L12" s="14"/>
      <c r="M12" s="14"/>
      <c r="N12" s="14"/>
      <c r="O12" s="15"/>
    </row>
    <row r="13" spans="1:15" x14ac:dyDescent="0.2">
      <c r="G13" s="8"/>
      <c r="H13" s="14"/>
      <c r="I13" s="14"/>
      <c r="J13" s="14"/>
      <c r="K13" s="14"/>
      <c r="L13" s="14"/>
      <c r="M13" s="14"/>
      <c r="N13" s="14"/>
      <c r="O13" s="15"/>
    </row>
    <row r="14" spans="1:15" x14ac:dyDescent="0.2">
      <c r="G14" s="8"/>
      <c r="H14" s="14"/>
      <c r="I14" s="14"/>
      <c r="J14" s="14"/>
      <c r="K14" s="14"/>
      <c r="L14" s="14"/>
      <c r="M14" s="14"/>
      <c r="N14" s="14"/>
      <c r="O14" s="15"/>
    </row>
    <row r="15" spans="1:15" x14ac:dyDescent="0.2">
      <c r="B15" s="53" t="s">
        <v>10</v>
      </c>
      <c r="C15" s="54"/>
      <c r="D15" s="55"/>
      <c r="G15" s="8"/>
      <c r="H15" s="14"/>
      <c r="I15" s="14"/>
      <c r="J15" s="14"/>
      <c r="K15" s="14"/>
      <c r="L15" s="14"/>
      <c r="M15" s="14"/>
      <c r="N15" s="14"/>
      <c r="O15" s="15"/>
    </row>
    <row r="16" spans="1:15" x14ac:dyDescent="0.2">
      <c r="A16" s="1" t="s">
        <v>31</v>
      </c>
      <c r="B16" s="6" t="s">
        <v>11</v>
      </c>
      <c r="C16" s="49" t="s">
        <v>32</v>
      </c>
      <c r="D16" s="50"/>
      <c r="G16" s="8"/>
      <c r="H16" s="14"/>
      <c r="I16" s="14"/>
      <c r="J16" s="14"/>
      <c r="K16" s="14"/>
      <c r="L16" s="14"/>
      <c r="M16" s="14"/>
      <c r="N16" s="14"/>
      <c r="O16" s="15"/>
    </row>
    <row r="17" spans="1:15" x14ac:dyDescent="0.2">
      <c r="B17" s="6" t="s">
        <v>12</v>
      </c>
      <c r="C17" s="49" t="s">
        <v>35</v>
      </c>
      <c r="D17" s="50"/>
      <c r="G17" s="8"/>
      <c r="H17" s="14"/>
      <c r="I17" s="14"/>
      <c r="J17" s="14"/>
      <c r="K17" s="14"/>
      <c r="L17" s="14"/>
      <c r="M17" s="14"/>
      <c r="N17" s="14"/>
      <c r="O17" s="15"/>
    </row>
    <row r="18" spans="1:15" x14ac:dyDescent="0.2">
      <c r="B18" s="6" t="s">
        <v>36</v>
      </c>
      <c r="C18" s="49" t="s">
        <v>37</v>
      </c>
      <c r="D18" s="50"/>
      <c r="G18" s="18">
        <v>41030</v>
      </c>
      <c r="H18" s="16" t="s">
        <v>30</v>
      </c>
      <c r="I18" s="16"/>
      <c r="J18" s="16"/>
      <c r="K18" s="16"/>
      <c r="L18" s="16"/>
      <c r="M18" s="16"/>
      <c r="N18" s="16"/>
      <c r="O18" s="17"/>
    </row>
    <row r="19" spans="1:15" x14ac:dyDescent="0.2">
      <c r="A19" s="1" t="s">
        <v>31</v>
      </c>
      <c r="B19" s="7" t="s">
        <v>33</v>
      </c>
      <c r="C19" s="51" t="s">
        <v>34</v>
      </c>
      <c r="D19" s="52"/>
    </row>
    <row r="22" spans="1:15" x14ac:dyDescent="0.2">
      <c r="B22" s="53" t="s">
        <v>13</v>
      </c>
      <c r="C22" s="54"/>
      <c r="D22" s="55"/>
    </row>
    <row r="23" spans="1:15" x14ac:dyDescent="0.2">
      <c r="B23" s="8" t="s">
        <v>14</v>
      </c>
      <c r="C23" s="49" t="s">
        <v>29</v>
      </c>
      <c r="D23" s="50"/>
    </row>
    <row r="24" spans="1:15" x14ac:dyDescent="0.2">
      <c r="B24" s="8" t="s">
        <v>15</v>
      </c>
      <c r="C24" s="49">
        <v>2011</v>
      </c>
      <c r="D24" s="50"/>
    </row>
    <row r="25" spans="1:15" x14ac:dyDescent="0.2">
      <c r="B25" s="8" t="s">
        <v>16</v>
      </c>
      <c r="C25" s="49"/>
      <c r="D25" s="50"/>
    </row>
    <row r="26" spans="1:15" x14ac:dyDescent="0.2">
      <c r="B26" s="8"/>
      <c r="C26" s="49"/>
      <c r="D26" s="50"/>
    </row>
    <row r="27" spans="1:15" x14ac:dyDescent="0.2">
      <c r="B27" s="8" t="s">
        <v>17</v>
      </c>
      <c r="C27" s="49"/>
      <c r="D27" s="50"/>
    </row>
    <row r="28" spans="1:15" x14ac:dyDescent="0.2">
      <c r="B28" s="8" t="s">
        <v>120</v>
      </c>
      <c r="C28" s="56">
        <f>+'Financial Model'!T37</f>
        <v>5500</v>
      </c>
      <c r="D28" s="57"/>
    </row>
    <row r="29" spans="1:15" x14ac:dyDescent="0.2">
      <c r="B29" s="8"/>
      <c r="C29" s="49"/>
      <c r="D29" s="50"/>
    </row>
    <row r="30" spans="1:15" x14ac:dyDescent="0.2">
      <c r="B30" s="8" t="s">
        <v>18</v>
      </c>
      <c r="C30" s="29" t="str">
        <f>+'Financial Model'!L1</f>
        <v>Q224</v>
      </c>
      <c r="D30" s="30">
        <f>+'Financial Model'!L3</f>
        <v>45511</v>
      </c>
    </row>
    <row r="31" spans="1:15" x14ac:dyDescent="0.2">
      <c r="B31" s="9" t="s">
        <v>19</v>
      </c>
      <c r="C31" s="51" t="s">
        <v>27</v>
      </c>
      <c r="D31" s="52"/>
    </row>
    <row r="34" spans="2:4" x14ac:dyDescent="0.2">
      <c r="B34" s="53" t="s">
        <v>20</v>
      </c>
      <c r="C34" s="54"/>
      <c r="D34" s="55"/>
    </row>
    <row r="35" spans="2:4" x14ac:dyDescent="0.2">
      <c r="B35" s="8" t="s">
        <v>21</v>
      </c>
      <c r="C35" s="58">
        <f>+C6/'Financial Model'!L68</f>
        <v>13.542478565861263</v>
      </c>
      <c r="D35" s="59"/>
    </row>
    <row r="36" spans="2:4" x14ac:dyDescent="0.2">
      <c r="B36" s="8" t="s">
        <v>22</v>
      </c>
      <c r="C36" s="49"/>
      <c r="D36" s="50"/>
    </row>
    <row r="37" spans="2:4" x14ac:dyDescent="0.2">
      <c r="B37" s="8" t="s">
        <v>23</v>
      </c>
      <c r="C37" s="49"/>
      <c r="D37" s="50"/>
    </row>
    <row r="38" spans="2:4" x14ac:dyDescent="0.2">
      <c r="B38" s="8" t="s">
        <v>24</v>
      </c>
      <c r="C38" s="49"/>
      <c r="D38" s="50"/>
    </row>
    <row r="39" spans="2:4" x14ac:dyDescent="0.2">
      <c r="B39" s="9" t="s">
        <v>25</v>
      </c>
      <c r="C39" s="51"/>
      <c r="D39" s="52"/>
    </row>
  </sheetData>
  <mergeCells count="22">
    <mergeCell ref="C19:D19"/>
    <mergeCell ref="B5:D5"/>
    <mergeCell ref="B15:D15"/>
    <mergeCell ref="C16:D16"/>
    <mergeCell ref="C17:D17"/>
    <mergeCell ref="C18:D18"/>
    <mergeCell ref="C37:D37"/>
    <mergeCell ref="C38:D38"/>
    <mergeCell ref="C39:D39"/>
    <mergeCell ref="G5:O5"/>
    <mergeCell ref="C28:D28"/>
    <mergeCell ref="C29:D29"/>
    <mergeCell ref="C31:D31"/>
    <mergeCell ref="B34:D34"/>
    <mergeCell ref="C35:D35"/>
    <mergeCell ref="C36:D36"/>
    <mergeCell ref="B22:D22"/>
    <mergeCell ref="C23:D23"/>
    <mergeCell ref="C24:D24"/>
    <mergeCell ref="C25:D25"/>
    <mergeCell ref="C26:D26"/>
    <mergeCell ref="C27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FD4D-2238-4E20-B0AD-CEC470AFAB11}">
  <dimension ref="B1:AC88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16" sqref="I16"/>
    </sheetView>
  </sheetViews>
  <sheetFormatPr defaultRowHeight="12.75" x14ac:dyDescent="0.2"/>
  <cols>
    <col min="1" max="1" width="4.28515625" style="1" customWidth="1"/>
    <col min="2" max="2" width="17.5703125" style="1" bestFit="1" customWidth="1"/>
    <col min="3" max="12" width="9.140625" style="1"/>
    <col min="13" max="14" width="9.140625" style="22"/>
    <col min="15" max="20" width="9.140625" style="1"/>
    <col min="21" max="21" width="9.140625" style="22"/>
    <col min="22" max="16384" width="9.140625" style="1"/>
  </cols>
  <sheetData>
    <row r="1" spans="2:29" s="11" customFormat="1" x14ac:dyDescent="0.2">
      <c r="C1" s="11" t="s">
        <v>110</v>
      </c>
      <c r="D1" s="11" t="s">
        <v>111</v>
      </c>
      <c r="E1" s="11" t="s">
        <v>112</v>
      </c>
      <c r="F1" s="11" t="s">
        <v>113</v>
      </c>
      <c r="G1" s="11" t="s">
        <v>42</v>
      </c>
      <c r="H1" s="11" t="s">
        <v>43</v>
      </c>
      <c r="I1" s="19" t="s">
        <v>44</v>
      </c>
      <c r="J1" s="19" t="s">
        <v>45</v>
      </c>
      <c r="K1" s="11" t="s">
        <v>38</v>
      </c>
      <c r="L1" s="19" t="s">
        <v>39</v>
      </c>
      <c r="M1" s="39" t="s">
        <v>40</v>
      </c>
      <c r="N1" s="39" t="s">
        <v>41</v>
      </c>
      <c r="Q1" s="11" t="s">
        <v>97</v>
      </c>
      <c r="R1" s="11" t="s">
        <v>98</v>
      </c>
      <c r="S1" s="11" t="s">
        <v>99</v>
      </c>
      <c r="T1" s="19" t="s">
        <v>100</v>
      </c>
      <c r="U1" s="39" t="s">
        <v>101</v>
      </c>
      <c r="V1" s="11" t="s">
        <v>102</v>
      </c>
      <c r="W1" s="11" t="s">
        <v>103</v>
      </c>
      <c r="X1" s="11" t="s">
        <v>104</v>
      </c>
      <c r="Y1" s="11" t="s">
        <v>105</v>
      </c>
      <c r="Z1" s="11" t="s">
        <v>106</v>
      </c>
      <c r="AA1" s="11" t="s">
        <v>107</v>
      </c>
      <c r="AB1" s="11" t="s">
        <v>108</v>
      </c>
      <c r="AC1" s="11" t="s">
        <v>109</v>
      </c>
    </row>
    <row r="2" spans="2:29" s="34" customFormat="1" x14ac:dyDescent="0.2">
      <c r="B2" s="33"/>
      <c r="E2" s="35">
        <v>44834</v>
      </c>
      <c r="G2" s="35">
        <v>45016</v>
      </c>
      <c r="H2" s="35">
        <v>45107</v>
      </c>
      <c r="I2" s="35">
        <v>45199</v>
      </c>
      <c r="J2" s="35">
        <v>45291</v>
      </c>
      <c r="K2" s="35">
        <v>45382</v>
      </c>
      <c r="L2" s="35">
        <v>45473</v>
      </c>
      <c r="M2" s="40"/>
      <c r="N2" s="40"/>
      <c r="T2" s="35">
        <v>45291</v>
      </c>
      <c r="U2" s="40"/>
    </row>
    <row r="3" spans="2:29" s="36" customFormat="1" ht="11.25" x14ac:dyDescent="0.2">
      <c r="I3" s="36">
        <v>45238</v>
      </c>
      <c r="J3" s="36">
        <v>45349</v>
      </c>
      <c r="K3" s="36">
        <v>45420</v>
      </c>
      <c r="L3" s="36">
        <v>45511</v>
      </c>
      <c r="M3" s="41"/>
      <c r="N3" s="41"/>
      <c r="T3" s="36">
        <v>45349</v>
      </c>
      <c r="U3" s="41"/>
    </row>
    <row r="4" spans="2:29" s="32" customFormat="1" x14ac:dyDescent="0.2">
      <c r="B4" s="31" t="s">
        <v>46</v>
      </c>
      <c r="E4" s="32">
        <v>90</v>
      </c>
      <c r="G4" s="32">
        <v>107</v>
      </c>
      <c r="H4" s="32">
        <v>121</v>
      </c>
      <c r="I4" s="32">
        <v>131</v>
      </c>
      <c r="J4" s="32">
        <f>+T4-SUM(G4:I4)</f>
        <v>141</v>
      </c>
      <c r="K4" s="32">
        <v>151</v>
      </c>
      <c r="L4" s="32">
        <v>166</v>
      </c>
      <c r="R4" s="32">
        <v>169</v>
      </c>
      <c r="S4" s="32">
        <v>324</v>
      </c>
      <c r="T4" s="32">
        <v>500</v>
      </c>
    </row>
    <row r="5" spans="2:29" s="32" customFormat="1" x14ac:dyDescent="0.2">
      <c r="B5" s="31" t="s">
        <v>47</v>
      </c>
      <c r="E5" s="32">
        <v>628</v>
      </c>
      <c r="G5" s="32">
        <v>673</v>
      </c>
      <c r="H5" s="32">
        <v>808</v>
      </c>
      <c r="I5" s="32">
        <v>856</v>
      </c>
      <c r="J5" s="32">
        <f>+T5-SUM(G5:I5)</f>
        <v>852</v>
      </c>
      <c r="K5" s="32">
        <v>873</v>
      </c>
      <c r="L5" s="32">
        <v>1023</v>
      </c>
      <c r="R5" s="32">
        <v>1406</v>
      </c>
      <c r="S5" s="32">
        <v>2268</v>
      </c>
      <c r="T5" s="32">
        <v>3189</v>
      </c>
    </row>
    <row r="6" spans="2:29" s="32" customFormat="1" x14ac:dyDescent="0.2">
      <c r="B6" s="31" t="s">
        <v>48</v>
      </c>
      <c r="E6" s="32">
        <f>27+7</f>
        <v>34</v>
      </c>
      <c r="G6" s="32">
        <v>39</v>
      </c>
      <c r="H6" s="32">
        <v>49</v>
      </c>
      <c r="I6" s="32">
        <f>34+11</f>
        <v>45</v>
      </c>
      <c r="J6" s="32">
        <f>+T6-SUM(G6:I6)</f>
        <v>43</v>
      </c>
      <c r="K6" s="32">
        <v>51</v>
      </c>
      <c r="L6" s="32">
        <v>53</v>
      </c>
      <c r="R6" s="32">
        <v>130</v>
      </c>
      <c r="S6" s="32">
        <v>139</v>
      </c>
      <c r="T6" s="32">
        <v>176</v>
      </c>
    </row>
    <row r="7" spans="2:29" s="27" customFormat="1" x14ac:dyDescent="0.2">
      <c r="B7" s="27" t="s">
        <v>49</v>
      </c>
      <c r="E7" s="27">
        <f>+E4+E5+E6</f>
        <v>752</v>
      </c>
      <c r="G7" s="27">
        <f>+G4+G5+G6</f>
        <v>819</v>
      </c>
      <c r="H7" s="27">
        <f>+H4+H5+H6</f>
        <v>978</v>
      </c>
      <c r="I7" s="27">
        <f>+I4+I5+I6</f>
        <v>1032</v>
      </c>
      <c r="J7" s="27">
        <f>+T7-SUM(G7:I7)</f>
        <v>1036</v>
      </c>
      <c r="K7" s="27">
        <f>+K4+K5+K6</f>
        <v>1075</v>
      </c>
      <c r="L7" s="27">
        <f>+L4+L5+L6</f>
        <v>1242</v>
      </c>
      <c r="M7" s="42">
        <f>+L7*(1+M33)</f>
        <v>1552.5</v>
      </c>
      <c r="N7" s="42">
        <f>+M7*(1+N33)</f>
        <v>1863</v>
      </c>
      <c r="R7" s="27">
        <f t="shared" ref="R7" si="0">+R4+R5+R6</f>
        <v>1705</v>
      </c>
      <c r="S7" s="27">
        <f t="shared" ref="S7" si="1">+S4+S5+S6</f>
        <v>2731</v>
      </c>
      <c r="T7" s="27">
        <f>+T4+T5+T6</f>
        <v>3865</v>
      </c>
      <c r="U7" s="42">
        <f>+SUM(K7:N7)</f>
        <v>5732.5</v>
      </c>
    </row>
    <row r="8" spans="2:29" s="32" customFormat="1" x14ac:dyDescent="0.2">
      <c r="B8" s="31" t="s">
        <v>46</v>
      </c>
      <c r="E8" s="32">
        <v>29</v>
      </c>
      <c r="G8" s="32">
        <v>36</v>
      </c>
      <c r="H8" s="32">
        <v>39</v>
      </c>
      <c r="I8" s="32">
        <v>43</v>
      </c>
      <c r="J8" s="32">
        <f t="shared" ref="J8:J11" si="2">+T8-SUM(G8:I8)</f>
        <v>48</v>
      </c>
      <c r="K8" s="32">
        <v>50</v>
      </c>
      <c r="L8" s="32">
        <v>53</v>
      </c>
      <c r="R8" s="32">
        <v>63</v>
      </c>
      <c r="S8" s="32">
        <v>112</v>
      </c>
      <c r="T8" s="32">
        <v>166</v>
      </c>
    </row>
    <row r="9" spans="2:29" s="32" customFormat="1" x14ac:dyDescent="0.2">
      <c r="B9" s="31" t="s">
        <v>47</v>
      </c>
      <c r="E9" s="32">
        <v>494</v>
      </c>
      <c r="G9" s="32">
        <v>523</v>
      </c>
      <c r="H9" s="32">
        <v>631</v>
      </c>
      <c r="I9" s="32">
        <v>674</v>
      </c>
      <c r="J9" s="32">
        <f t="shared" si="2"/>
        <v>675</v>
      </c>
      <c r="K9" s="32">
        <v>683</v>
      </c>
      <c r="L9" s="32">
        <v>806</v>
      </c>
      <c r="R9" s="32">
        <v>1120</v>
      </c>
      <c r="S9" s="32">
        <v>1792</v>
      </c>
      <c r="T9" s="32">
        <v>2503</v>
      </c>
    </row>
    <row r="10" spans="2:29" s="32" customFormat="1" x14ac:dyDescent="0.2">
      <c r="B10" s="31" t="s">
        <v>48</v>
      </c>
      <c r="E10" s="32">
        <f>52+25</f>
        <v>77</v>
      </c>
      <c r="G10" s="32">
        <v>85</v>
      </c>
      <c r="H10" s="32">
        <v>99</v>
      </c>
      <c r="I10" s="32">
        <f>58+30</f>
        <v>88</v>
      </c>
      <c r="J10" s="32">
        <f t="shared" si="2"/>
        <v>85</v>
      </c>
      <c r="K10" s="32">
        <v>92</v>
      </c>
      <c r="L10" s="32">
        <v>96</v>
      </c>
      <c r="R10" s="32">
        <v>204</v>
      </c>
      <c r="S10" s="32">
        <v>311</v>
      </c>
      <c r="T10" s="32">
        <v>357</v>
      </c>
    </row>
    <row r="11" spans="2:29" s="32" customFormat="1" x14ac:dyDescent="0.2">
      <c r="B11" s="31" t="s">
        <v>51</v>
      </c>
      <c r="E11" s="32">
        <v>1</v>
      </c>
      <c r="G11" s="32">
        <v>1</v>
      </c>
      <c r="H11" s="32">
        <v>1</v>
      </c>
      <c r="I11" s="32">
        <v>1</v>
      </c>
      <c r="J11" s="32">
        <f t="shared" si="2"/>
        <v>2</v>
      </c>
      <c r="K11" s="32">
        <v>1</v>
      </c>
      <c r="L11" s="32">
        <v>1</v>
      </c>
      <c r="R11" s="32">
        <v>4</v>
      </c>
      <c r="S11" s="32">
        <v>5</v>
      </c>
      <c r="T11" s="32">
        <v>5</v>
      </c>
    </row>
    <row r="12" spans="2:29" s="28" customFormat="1" x14ac:dyDescent="0.2">
      <c r="B12" s="28" t="s">
        <v>50</v>
      </c>
      <c r="E12" s="28">
        <f>+SUM(E8:E11)</f>
        <v>601</v>
      </c>
      <c r="G12" s="28">
        <f>+SUM(G8:G11)</f>
        <v>645</v>
      </c>
      <c r="H12" s="28">
        <f>+SUM(H8:H11)</f>
        <v>770</v>
      </c>
      <c r="I12" s="28">
        <f>+SUM(I8:I11)</f>
        <v>806</v>
      </c>
      <c r="J12" s="28">
        <f>+SUM(J8:J11)</f>
        <v>810</v>
      </c>
      <c r="K12" s="28">
        <f>+SUM(K8:K11)</f>
        <v>826</v>
      </c>
      <c r="L12" s="28">
        <f>+SUM(L8:L11)</f>
        <v>956</v>
      </c>
      <c r="M12" s="32">
        <f>+M7-M13</f>
        <v>1195.425</v>
      </c>
      <c r="N12" s="32">
        <f>+N7-N13</f>
        <v>1434.51</v>
      </c>
      <c r="R12" s="28">
        <f t="shared" ref="R12" si="3">+SUM(R8:R11)</f>
        <v>1391</v>
      </c>
      <c r="S12" s="28">
        <f t="shared" ref="S12" si="4">+SUM(S8:S11)</f>
        <v>2220</v>
      </c>
      <c r="T12" s="28">
        <f>+SUM(T8:T11)</f>
        <v>3031</v>
      </c>
      <c r="U12" s="32">
        <f>+SUM(K12:N12)</f>
        <v>4411.9350000000004</v>
      </c>
    </row>
    <row r="13" spans="2:29" s="27" customFormat="1" x14ac:dyDescent="0.2">
      <c r="B13" s="27" t="s">
        <v>52</v>
      </c>
      <c r="E13" s="27">
        <f>+E7-E12</f>
        <v>151</v>
      </c>
      <c r="G13" s="27">
        <f>+G7-G12</f>
        <v>174</v>
      </c>
      <c r="H13" s="27">
        <f>+H7-H12</f>
        <v>208</v>
      </c>
      <c r="I13" s="27">
        <f>+I7-I12</f>
        <v>226</v>
      </c>
      <c r="J13" s="27">
        <f>+J7-J12</f>
        <v>226</v>
      </c>
      <c r="K13" s="27">
        <f>+K7-K12</f>
        <v>249</v>
      </c>
      <c r="L13" s="27">
        <f>+L7-L12</f>
        <v>286</v>
      </c>
      <c r="M13" s="42">
        <f>+M7*M28</f>
        <v>357.07499999999999</v>
      </c>
      <c r="N13" s="42">
        <f>+N7*N28</f>
        <v>428.49</v>
      </c>
      <c r="R13" s="27">
        <f t="shared" ref="R13" si="5">+R7-R12</f>
        <v>314</v>
      </c>
      <c r="S13" s="27">
        <f t="shared" ref="S13" si="6">+S7-S12</f>
        <v>511</v>
      </c>
      <c r="T13" s="27">
        <f>+T7-T12</f>
        <v>834</v>
      </c>
      <c r="U13" s="42">
        <f>+SUM(K13:N13)</f>
        <v>1320.5650000000001</v>
      </c>
    </row>
    <row r="14" spans="2:29" s="28" customFormat="1" x14ac:dyDescent="0.2">
      <c r="B14" s="28" t="s">
        <v>53</v>
      </c>
      <c r="E14" s="28">
        <v>84</v>
      </c>
      <c r="G14" s="28">
        <v>99</v>
      </c>
      <c r="H14" s="28">
        <v>100</v>
      </c>
      <c r="I14" s="28">
        <v>100</v>
      </c>
      <c r="J14" s="28">
        <f>+T14-SUM(G14:I14)</f>
        <v>102</v>
      </c>
      <c r="K14" s="28">
        <v>107</v>
      </c>
      <c r="L14" s="28">
        <v>115</v>
      </c>
      <c r="M14" s="32">
        <v>120</v>
      </c>
      <c r="N14" s="32">
        <v>125</v>
      </c>
      <c r="R14" s="28">
        <v>190</v>
      </c>
      <c r="S14" s="28">
        <v>319</v>
      </c>
      <c r="T14" s="28">
        <v>401</v>
      </c>
      <c r="U14" s="32">
        <f t="shared" ref="U14:U23" si="7">+SUM(K14:N14)</f>
        <v>467</v>
      </c>
    </row>
    <row r="15" spans="2:29" s="28" customFormat="1" x14ac:dyDescent="0.2">
      <c r="B15" s="28" t="s">
        <v>54</v>
      </c>
      <c r="E15" s="28">
        <v>74</v>
      </c>
      <c r="G15" s="28">
        <v>85</v>
      </c>
      <c r="H15" s="28">
        <v>92</v>
      </c>
      <c r="I15" s="28">
        <v>87</v>
      </c>
      <c r="J15" s="28">
        <f>+T15-SUM(G15:I15)</f>
        <v>94</v>
      </c>
      <c r="K15" s="28">
        <v>83</v>
      </c>
      <c r="L15" s="28">
        <v>87</v>
      </c>
      <c r="M15" s="32">
        <f>+M7*0.07</f>
        <v>108.67500000000001</v>
      </c>
      <c r="N15" s="32">
        <f>+N7*0.07</f>
        <v>130.41000000000003</v>
      </c>
      <c r="R15" s="28">
        <v>163</v>
      </c>
      <c r="S15" s="28">
        <v>282</v>
      </c>
      <c r="T15" s="28">
        <v>358</v>
      </c>
      <c r="U15" s="32">
        <f t="shared" si="7"/>
        <v>409.08500000000004</v>
      </c>
    </row>
    <row r="16" spans="2:29" s="28" customFormat="1" x14ac:dyDescent="0.2">
      <c r="B16" s="28" t="s">
        <v>55</v>
      </c>
      <c r="E16" s="28">
        <v>78</v>
      </c>
      <c r="G16" s="28">
        <v>82</v>
      </c>
      <c r="H16" s="28">
        <v>96</v>
      </c>
      <c r="I16" s="28">
        <v>98</v>
      </c>
      <c r="J16" s="28">
        <f>+T16-SUM(G16:I16)</f>
        <v>86</v>
      </c>
      <c r="K16" s="28">
        <v>74</v>
      </c>
      <c r="L16" s="28">
        <v>75</v>
      </c>
      <c r="M16" s="32">
        <v>76</v>
      </c>
      <c r="N16" s="32">
        <v>78</v>
      </c>
      <c r="R16" s="28">
        <v>189</v>
      </c>
      <c r="S16" s="28">
        <v>294</v>
      </c>
      <c r="T16" s="28">
        <v>362</v>
      </c>
      <c r="U16" s="32">
        <f t="shared" si="7"/>
        <v>303</v>
      </c>
    </row>
    <row r="17" spans="2:21" s="47" customFormat="1" x14ac:dyDescent="0.2">
      <c r="B17" s="47" t="s">
        <v>56</v>
      </c>
      <c r="E17" s="47">
        <v>0</v>
      </c>
      <c r="G17" s="47">
        <v>0</v>
      </c>
      <c r="H17" s="47">
        <v>0</v>
      </c>
      <c r="I17" s="47">
        <v>0</v>
      </c>
      <c r="K17" s="47">
        <v>41</v>
      </c>
      <c r="L17" s="47">
        <v>4</v>
      </c>
      <c r="M17" s="48">
        <v>2</v>
      </c>
      <c r="N17" s="48">
        <v>0</v>
      </c>
      <c r="R17" s="47">
        <v>0</v>
      </c>
      <c r="S17" s="47">
        <v>0</v>
      </c>
      <c r="T17" s="47">
        <v>0</v>
      </c>
      <c r="U17" s="48">
        <f t="shared" si="7"/>
        <v>47</v>
      </c>
    </row>
    <row r="18" spans="2:21" s="27" customFormat="1" x14ac:dyDescent="0.2">
      <c r="B18" s="27" t="s">
        <v>57</v>
      </c>
      <c r="E18" s="27">
        <f>+E13-SUM(E14:E17)</f>
        <v>-85</v>
      </c>
      <c r="G18" s="27">
        <f>+G13-SUM(G14:G17)</f>
        <v>-92</v>
      </c>
      <c r="H18" s="27">
        <f>+H13-SUM(H14:H17)</f>
        <v>-80</v>
      </c>
      <c r="I18" s="27">
        <f>+I13-SUM(I14:I17)</f>
        <v>-59</v>
      </c>
      <c r="J18" s="27">
        <f>+J13-SUM(J14:J17)</f>
        <v>-56</v>
      </c>
      <c r="K18" s="27">
        <f>+K13-SUM(K14:K17)</f>
        <v>-56</v>
      </c>
      <c r="L18" s="27">
        <f>+L13-SUM(L14:L17)</f>
        <v>5</v>
      </c>
      <c r="M18" s="42">
        <f>+M13-SUM(M14:M17)</f>
        <v>50.399999999999977</v>
      </c>
      <c r="N18" s="42">
        <f>+N13-SUM(N14:N17)</f>
        <v>95.079999999999984</v>
      </c>
      <c r="R18" s="27">
        <f t="shared" ref="R18" si="8">+R13-SUM(R14:R17)</f>
        <v>-228</v>
      </c>
      <c r="S18" s="27">
        <f t="shared" ref="S18" si="9">+S13-SUM(S14:S17)</f>
        <v>-384</v>
      </c>
      <c r="T18" s="27">
        <f>+T13-SUM(T14:T17)</f>
        <v>-287</v>
      </c>
      <c r="U18" s="42">
        <f>+SUM(K18:N18)</f>
        <v>94.479999999999961</v>
      </c>
    </row>
    <row r="19" spans="2:21" s="28" customFormat="1" x14ac:dyDescent="0.2">
      <c r="B19" s="28" t="s">
        <v>58</v>
      </c>
      <c r="E19" s="28">
        <v>3</v>
      </c>
      <c r="G19" s="28">
        <v>8</v>
      </c>
      <c r="H19" s="28">
        <v>9</v>
      </c>
      <c r="I19" s="28">
        <v>10</v>
      </c>
      <c r="J19" s="28">
        <f>+T19-SUM(G19:I19)</f>
        <v>10</v>
      </c>
      <c r="K19" s="28">
        <v>10</v>
      </c>
      <c r="L19" s="28">
        <v>10</v>
      </c>
      <c r="M19" s="32">
        <f>AVERAGE(G19:L19)</f>
        <v>9.5</v>
      </c>
      <c r="N19" s="32">
        <f>AVERAGE(H19:M19)</f>
        <v>9.75</v>
      </c>
      <c r="R19" s="28">
        <v>-12</v>
      </c>
      <c r="S19" s="28">
        <v>11</v>
      </c>
      <c r="T19" s="28">
        <v>37</v>
      </c>
      <c r="U19" s="32">
        <f t="shared" si="7"/>
        <v>39.25</v>
      </c>
    </row>
    <row r="20" spans="2:21" s="28" customFormat="1" x14ac:dyDescent="0.2">
      <c r="B20" s="28" t="s">
        <v>59</v>
      </c>
      <c r="E20" s="28">
        <v>-21</v>
      </c>
      <c r="G20" s="28">
        <v>3</v>
      </c>
      <c r="H20" s="28">
        <v>-26</v>
      </c>
      <c r="I20" s="28">
        <v>18</v>
      </c>
      <c r="J20" s="28">
        <f>+T20-SUM(G20:I20)</f>
        <v>8</v>
      </c>
      <c r="K20" s="28">
        <v>-36</v>
      </c>
      <c r="L20" s="28">
        <v>-1</v>
      </c>
      <c r="M20" s="32">
        <f t="shared" ref="M20:N20" si="10">AVERAGE(G20:L20)</f>
        <v>-5.666666666666667</v>
      </c>
      <c r="N20" s="32">
        <f t="shared" si="10"/>
        <v>-7.1111111111111107</v>
      </c>
      <c r="R20" s="28">
        <v>-97</v>
      </c>
      <c r="S20" s="28">
        <v>95</v>
      </c>
      <c r="T20" s="28">
        <v>3</v>
      </c>
      <c r="U20" s="32">
        <f t="shared" si="7"/>
        <v>-49.777777777777771</v>
      </c>
    </row>
    <row r="21" spans="2:21" s="28" customFormat="1" x14ac:dyDescent="0.2">
      <c r="B21" s="28" t="s">
        <v>60</v>
      </c>
      <c r="E21" s="28">
        <v>1</v>
      </c>
      <c r="G21" s="28">
        <v>0</v>
      </c>
      <c r="H21" s="28">
        <v>0</v>
      </c>
      <c r="I21" s="28">
        <v>0</v>
      </c>
      <c r="J21" s="28">
        <f>+T21-SUM(G21:I21)</f>
        <v>3</v>
      </c>
      <c r="K21" s="28">
        <v>0</v>
      </c>
      <c r="L21" s="28">
        <v>0</v>
      </c>
      <c r="M21" s="32">
        <f t="shared" ref="M21:N21" si="11">AVERAGE(G21:L21)</f>
        <v>0.5</v>
      </c>
      <c r="N21" s="32">
        <f t="shared" si="11"/>
        <v>0.58333333333333337</v>
      </c>
      <c r="R21" s="28">
        <f>-103-50</f>
        <v>-153</v>
      </c>
      <c r="S21" s="28">
        <v>1</v>
      </c>
      <c r="T21" s="28">
        <v>3</v>
      </c>
      <c r="U21" s="32">
        <f t="shared" si="7"/>
        <v>1.0833333333333335</v>
      </c>
    </row>
    <row r="22" spans="2:21" s="28" customFormat="1" x14ac:dyDescent="0.2">
      <c r="B22" s="28" t="s">
        <v>61</v>
      </c>
      <c r="E22" s="28">
        <f>+E18+SUM(E19:E21)</f>
        <v>-102</v>
      </c>
      <c r="G22" s="28">
        <f>+G18+SUM(G19:G21)</f>
        <v>-81</v>
      </c>
      <c r="H22" s="28">
        <f>+H18+SUM(H19:H21)</f>
        <v>-97</v>
      </c>
      <c r="I22" s="28">
        <f>+I18+SUM(I19:I21)</f>
        <v>-31</v>
      </c>
      <c r="J22" s="28">
        <f>+J18+SUM(J19:J21)</f>
        <v>-35</v>
      </c>
      <c r="K22" s="28">
        <f>+K18+SUM(K19:K21)</f>
        <v>-82</v>
      </c>
      <c r="L22" s="28">
        <f>+L18+SUM(L19:L21)</f>
        <v>14</v>
      </c>
      <c r="M22" s="32">
        <f t="shared" ref="M22:N22" si="12">+M18+SUM(M19:M21)</f>
        <v>54.733333333333313</v>
      </c>
      <c r="N22" s="32">
        <f t="shared" si="12"/>
        <v>98.302222222222213</v>
      </c>
      <c r="R22" s="28">
        <f t="shared" ref="R22" si="13">+R18+SUM(R19:R21)</f>
        <v>-490</v>
      </c>
      <c r="S22" s="28">
        <f t="shared" ref="S22" si="14">+S18+SUM(S19:S21)</f>
        <v>-277</v>
      </c>
      <c r="T22" s="28">
        <f>+T18+SUM(T19:T21)</f>
        <v>-244</v>
      </c>
      <c r="U22" s="32">
        <f>+U18+SUM(U19:U21)</f>
        <v>85.035555555555518</v>
      </c>
    </row>
    <row r="23" spans="2:21" s="28" customFormat="1" x14ac:dyDescent="0.2">
      <c r="B23" s="28" t="s">
        <v>62</v>
      </c>
      <c r="E23" s="28">
        <v>-4</v>
      </c>
      <c r="G23" s="28">
        <v>0</v>
      </c>
      <c r="H23" s="28">
        <v>1</v>
      </c>
      <c r="I23" s="28">
        <v>0</v>
      </c>
      <c r="J23" s="28">
        <f>+T23-SUM(G23:I23)</f>
        <v>1</v>
      </c>
      <c r="K23" s="28">
        <v>1</v>
      </c>
      <c r="L23" s="28">
        <v>0</v>
      </c>
      <c r="M23" s="32">
        <v>0</v>
      </c>
      <c r="N23" s="32">
        <v>0</v>
      </c>
      <c r="R23" s="28">
        <v>-3</v>
      </c>
      <c r="S23" s="28">
        <v>-2</v>
      </c>
      <c r="T23" s="28">
        <v>2</v>
      </c>
      <c r="U23" s="32">
        <f t="shared" si="7"/>
        <v>1</v>
      </c>
    </row>
    <row r="24" spans="2:21" s="27" customFormat="1" x14ac:dyDescent="0.2">
      <c r="B24" s="27" t="s">
        <v>63</v>
      </c>
      <c r="E24" s="27">
        <f>+E22-E23</f>
        <v>-98</v>
      </c>
      <c r="G24" s="27">
        <f>+G22-G23</f>
        <v>-81</v>
      </c>
      <c r="H24" s="27">
        <f>+H22-H23</f>
        <v>-98</v>
      </c>
      <c r="I24" s="27">
        <f>+I22-I23</f>
        <v>-31</v>
      </c>
      <c r="J24" s="27">
        <f>+J22-J23</f>
        <v>-36</v>
      </c>
      <c r="K24" s="27">
        <f>+K22-K23</f>
        <v>-83</v>
      </c>
      <c r="L24" s="27">
        <f>+L22-L23</f>
        <v>14</v>
      </c>
      <c r="M24" s="42">
        <f t="shared" ref="M24:N24" si="15">+M22-M23</f>
        <v>54.733333333333313</v>
      </c>
      <c r="N24" s="42">
        <f t="shared" si="15"/>
        <v>98.302222222222213</v>
      </c>
      <c r="R24" s="27">
        <f t="shared" ref="R24" si="16">+R22-R23</f>
        <v>-487</v>
      </c>
      <c r="S24" s="27">
        <f t="shared" ref="S24" si="17">+S22-S23</f>
        <v>-275</v>
      </c>
      <c r="T24" s="27">
        <f>+T22-T23</f>
        <v>-246</v>
      </c>
      <c r="U24" s="42">
        <f>+U22-U23</f>
        <v>84.035555555555518</v>
      </c>
    </row>
    <row r="25" spans="2:21" s="23" customFormat="1" x14ac:dyDescent="0.2">
      <c r="B25" s="23" t="s">
        <v>64</v>
      </c>
      <c r="E25" s="23">
        <f>+E24/E26</f>
        <v>-0.19076544688118904</v>
      </c>
      <c r="G25" s="23">
        <f>+G24/G26</f>
        <v>-0.15458015267175573</v>
      </c>
      <c r="H25" s="23">
        <f>+H24/H26</f>
        <v>-0.18525519848771266</v>
      </c>
      <c r="I25" s="23">
        <f>+I24/I26</f>
        <v>-5.7920158265076176E-2</v>
      </c>
      <c r="J25" s="23">
        <f>+J24/J26</f>
        <v>-6.7669172932330823E-2</v>
      </c>
      <c r="K25" s="23">
        <f>+K24/K26</f>
        <v>-0.15173674588665448</v>
      </c>
      <c r="L25" s="23">
        <f>+L24/L26</f>
        <v>2.5179856115107913E-2</v>
      </c>
      <c r="M25" s="43">
        <f>+M24/M26</f>
        <v>9.844124700239805E-2</v>
      </c>
      <c r="N25" s="43">
        <f>+N24/N26</f>
        <v>0.17680255795363709</v>
      </c>
      <c r="R25" s="23">
        <f t="shared" ref="R25" si="18">+R24/R26</f>
        <v>-1.6793103448275861</v>
      </c>
      <c r="S25" s="23">
        <f t="shared" ref="S25" si="19">+S24/S26</f>
        <v>-0.537109375</v>
      </c>
      <c r="T25" s="23">
        <f>+T24/T26</f>
        <v>-0.46240601503759399</v>
      </c>
      <c r="U25" s="43">
        <f>+U24/U26</f>
        <v>0.15114308553157468</v>
      </c>
    </row>
    <row r="26" spans="2:21" x14ac:dyDescent="0.2">
      <c r="B26" s="1" t="s">
        <v>4</v>
      </c>
      <c r="E26" s="28">
        <v>513.71986700000002</v>
      </c>
      <c r="G26" s="1">
        <v>524</v>
      </c>
      <c r="H26" s="1">
        <v>529</v>
      </c>
      <c r="I26" s="28">
        <v>535.21953199999996</v>
      </c>
      <c r="J26" s="1">
        <f>+T26</f>
        <v>532</v>
      </c>
      <c r="K26" s="1">
        <v>547</v>
      </c>
      <c r="L26" s="1">
        <v>556</v>
      </c>
      <c r="M26" s="22">
        <f>+L26</f>
        <v>556</v>
      </c>
      <c r="N26" s="22">
        <f>+M26</f>
        <v>556</v>
      </c>
      <c r="R26" s="1">
        <v>290</v>
      </c>
      <c r="S26" s="1">
        <v>512</v>
      </c>
      <c r="T26" s="1">
        <v>532</v>
      </c>
      <c r="U26" s="22">
        <f>+N26</f>
        <v>556</v>
      </c>
    </row>
    <row r="28" spans="2:21" s="24" customFormat="1" x14ac:dyDescent="0.2">
      <c r="B28" s="24" t="s">
        <v>65</v>
      </c>
      <c r="E28" s="24">
        <f>+E13/E7</f>
        <v>0.20079787234042554</v>
      </c>
      <c r="G28" s="24">
        <f>+G13/G7</f>
        <v>0.21245421245421245</v>
      </c>
      <c r="H28" s="24">
        <f>+H13/H7</f>
        <v>0.21267893660531698</v>
      </c>
      <c r="I28" s="24">
        <f>+I13/I7</f>
        <v>0.2189922480620155</v>
      </c>
      <c r="J28" s="24">
        <f>+J13/J7</f>
        <v>0.21814671814671815</v>
      </c>
      <c r="K28" s="24">
        <f>+K13/K7</f>
        <v>0.23162790697674418</v>
      </c>
      <c r="L28" s="24">
        <f>+L13/L7</f>
        <v>0.23027375201288244</v>
      </c>
      <c r="M28" s="44">
        <v>0.23</v>
      </c>
      <c r="N28" s="44">
        <v>0.23</v>
      </c>
      <c r="R28" s="24">
        <f>+R13/R7</f>
        <v>0.1841642228739003</v>
      </c>
      <c r="S28" s="24">
        <f>+S13/S7</f>
        <v>0.18711094837056022</v>
      </c>
      <c r="T28" s="24">
        <f>+T13/T7</f>
        <v>0.21578266494178525</v>
      </c>
      <c r="U28" s="44">
        <f>+U13/U7</f>
        <v>0.23036458787614481</v>
      </c>
    </row>
    <row r="29" spans="2:21" s="24" customFormat="1" x14ac:dyDescent="0.2">
      <c r="B29" s="24" t="s">
        <v>66</v>
      </c>
      <c r="E29" s="24">
        <f>+E18/E7</f>
        <v>-0.11303191489361702</v>
      </c>
      <c r="G29" s="24">
        <f>+G18/G7</f>
        <v>-0.11233211233211234</v>
      </c>
      <c r="H29" s="24">
        <f>+H18/H7</f>
        <v>-8.1799591002044994E-2</v>
      </c>
      <c r="I29" s="24">
        <f>+I18/I7</f>
        <v>-5.7170542635658912E-2</v>
      </c>
      <c r="J29" s="24">
        <f>+J18/J7</f>
        <v>-5.4054054054054057E-2</v>
      </c>
      <c r="K29" s="24">
        <f>+K18/K7</f>
        <v>-5.2093023255813956E-2</v>
      </c>
      <c r="L29" s="24">
        <f>+L18/L7</f>
        <v>4.0257648953301124E-3</v>
      </c>
      <c r="M29" s="44"/>
      <c r="N29" s="44"/>
      <c r="R29" s="24">
        <f>+R18/R7</f>
        <v>-0.13372434017595308</v>
      </c>
      <c r="S29" s="24">
        <f>+S18/S7</f>
        <v>-0.14060783595752471</v>
      </c>
      <c r="T29" s="24">
        <f>+T18/T7</f>
        <v>-7.4256144890038817E-2</v>
      </c>
      <c r="U29" s="44">
        <f>+U18/U7</f>
        <v>1.6481465329262968E-2</v>
      </c>
    </row>
    <row r="30" spans="2:21" s="24" customFormat="1" x14ac:dyDescent="0.2">
      <c r="B30" s="24" t="s">
        <v>67</v>
      </c>
      <c r="E30" s="24">
        <f>+E24/E7</f>
        <v>-0.13031914893617022</v>
      </c>
      <c r="G30" s="24">
        <f>+G24/G7</f>
        <v>-9.8901098901098897E-2</v>
      </c>
      <c r="H30" s="24">
        <f>+H24/H7</f>
        <v>-0.10020449897750511</v>
      </c>
      <c r="I30" s="24">
        <f>+I24/I7</f>
        <v>-3.0038759689922482E-2</v>
      </c>
      <c r="J30" s="24">
        <f>+J24/J7</f>
        <v>-3.4749034749034749E-2</v>
      </c>
      <c r="K30" s="24">
        <f>+K24/K7</f>
        <v>-7.7209302325581389E-2</v>
      </c>
      <c r="L30" s="24">
        <f>+L24/L7</f>
        <v>1.1272141706924315E-2</v>
      </c>
      <c r="M30" s="44"/>
      <c r="N30" s="44"/>
      <c r="R30" s="24">
        <f>+R24/R7</f>
        <v>-0.28563049853372435</v>
      </c>
      <c r="S30" s="24">
        <f>+S24/S7</f>
        <v>-0.10069571585499817</v>
      </c>
      <c r="T30" s="24">
        <f>+T24/T7</f>
        <v>-6.3648124191461833E-2</v>
      </c>
      <c r="U30" s="44">
        <f>+U24/U7</f>
        <v>1.4659495081649458E-2</v>
      </c>
    </row>
    <row r="31" spans="2:21" s="24" customFormat="1" x14ac:dyDescent="0.2">
      <c r="B31" s="24" t="s">
        <v>68</v>
      </c>
      <c r="E31" s="24">
        <f>+E23/E22</f>
        <v>3.9215686274509803E-2</v>
      </c>
      <c r="G31" s="24">
        <f>+G23/G22</f>
        <v>0</v>
      </c>
      <c r="H31" s="24">
        <f>+H23/H22</f>
        <v>-1.0309278350515464E-2</v>
      </c>
      <c r="I31" s="24">
        <f>+I23/I22</f>
        <v>0</v>
      </c>
      <c r="J31" s="24">
        <f>+J23/J22</f>
        <v>-2.8571428571428571E-2</v>
      </c>
      <c r="K31" s="24">
        <f>+K23/K22</f>
        <v>-1.2195121951219513E-2</v>
      </c>
      <c r="L31" s="24">
        <f>+L23/L22</f>
        <v>0</v>
      </c>
      <c r="M31" s="44"/>
      <c r="N31" s="44"/>
      <c r="R31" s="24">
        <f>+R23/R22</f>
        <v>6.1224489795918364E-3</v>
      </c>
      <c r="S31" s="24">
        <f>+S23/S22</f>
        <v>7.2202166064981952E-3</v>
      </c>
      <c r="T31" s="24">
        <f>+T23/T22</f>
        <v>-8.1967213114754103E-3</v>
      </c>
      <c r="U31" s="44">
        <f>+U23/U22</f>
        <v>1.1759786755866832E-2</v>
      </c>
    </row>
    <row r="32" spans="2:21" s="24" customFormat="1" x14ac:dyDescent="0.2">
      <c r="M32" s="44"/>
      <c r="N32" s="44"/>
      <c r="U32" s="44"/>
    </row>
    <row r="33" spans="2:22" s="25" customFormat="1" x14ac:dyDescent="0.2">
      <c r="B33" s="25" t="s">
        <v>69</v>
      </c>
      <c r="I33" s="25">
        <f>+I7/E7-1</f>
        <v>0.37234042553191493</v>
      </c>
      <c r="K33" s="25">
        <f>+K7/G7-1</f>
        <v>0.31257631257631258</v>
      </c>
      <c r="L33" s="25">
        <f>+L7/H7-1</f>
        <v>0.26993865030674846</v>
      </c>
      <c r="M33" s="45">
        <v>0.25</v>
      </c>
      <c r="N33" s="45">
        <v>0.2</v>
      </c>
      <c r="S33" s="25">
        <f>+S7/R7-1</f>
        <v>0.6017595307917889</v>
      </c>
      <c r="T33" s="25">
        <f>+T7/S7-1</f>
        <v>0.41523251556206509</v>
      </c>
      <c r="U33" s="45">
        <f>+U7/T7-1</f>
        <v>0.48318240620957309</v>
      </c>
    </row>
    <row r="34" spans="2:22" x14ac:dyDescent="0.2">
      <c r="B34" s="1" t="s">
        <v>70</v>
      </c>
      <c r="H34" s="24">
        <f>+H7/G7-1</f>
        <v>0.19413919413919412</v>
      </c>
      <c r="I34" s="24">
        <f>+I7/H7-1</f>
        <v>5.5214723926380271E-2</v>
      </c>
      <c r="J34" s="24">
        <f>+J7/I7-1</f>
        <v>3.8759689922480689E-3</v>
      </c>
      <c r="K34" s="24">
        <f>+K7/J7-1</f>
        <v>3.7644787644787625E-2</v>
      </c>
      <c r="L34" s="24">
        <f>+L7/K7-1</f>
        <v>0.15534883720930237</v>
      </c>
      <c r="R34" s="10" t="s">
        <v>117</v>
      </c>
      <c r="S34" s="10" t="s">
        <v>117</v>
      </c>
      <c r="T34" s="10" t="s">
        <v>117</v>
      </c>
    </row>
    <row r="36" spans="2:22" x14ac:dyDescent="0.2">
      <c r="B36" s="26" t="s">
        <v>118</v>
      </c>
    </row>
    <row r="37" spans="2:22" s="28" customFormat="1" x14ac:dyDescent="0.2">
      <c r="B37" s="28" t="s">
        <v>119</v>
      </c>
      <c r="M37" s="32"/>
      <c r="N37" s="32"/>
      <c r="T37" s="28">
        <v>5500</v>
      </c>
      <c r="U37" s="32"/>
      <c r="V37" s="23"/>
    </row>
    <row r="40" spans="2:22" x14ac:dyDescent="0.2">
      <c r="B40" s="26" t="s">
        <v>71</v>
      </c>
    </row>
    <row r="41" spans="2:22" s="27" customFormat="1" x14ac:dyDescent="0.2">
      <c r="B41" s="27" t="s">
        <v>6</v>
      </c>
      <c r="J41" s="27">
        <v>605</v>
      </c>
      <c r="K41" s="27">
        <v>578</v>
      </c>
      <c r="L41" s="27">
        <v>691</v>
      </c>
      <c r="M41" s="42"/>
      <c r="N41" s="42"/>
      <c r="S41" s="27">
        <v>547</v>
      </c>
      <c r="T41" s="27">
        <v>605</v>
      </c>
      <c r="U41" s="42"/>
    </row>
    <row r="42" spans="2:22" s="27" customFormat="1" x14ac:dyDescent="0.2">
      <c r="B42" s="27" t="s">
        <v>72</v>
      </c>
      <c r="J42" s="27">
        <v>519</v>
      </c>
      <c r="K42" s="27">
        <v>537</v>
      </c>
      <c r="L42" s="27">
        <v>528</v>
      </c>
      <c r="M42" s="42"/>
      <c r="N42" s="42"/>
      <c r="S42" s="27">
        <v>474</v>
      </c>
      <c r="T42" s="27">
        <v>519</v>
      </c>
      <c r="U42" s="42"/>
    </row>
    <row r="43" spans="2:22" s="28" customFormat="1" x14ac:dyDescent="0.2">
      <c r="B43" s="28" t="s">
        <v>73</v>
      </c>
      <c r="J43" s="28">
        <v>69</v>
      </c>
      <c r="K43" s="28">
        <v>86</v>
      </c>
      <c r="L43" s="28">
        <v>101</v>
      </c>
      <c r="M43" s="32"/>
      <c r="N43" s="32"/>
      <c r="S43" s="28">
        <v>77</v>
      </c>
      <c r="T43" s="28">
        <v>69</v>
      </c>
      <c r="U43" s="32"/>
    </row>
    <row r="44" spans="2:22" s="28" customFormat="1" x14ac:dyDescent="0.2">
      <c r="B44" s="28" t="s">
        <v>74</v>
      </c>
      <c r="J44" s="28">
        <v>118</v>
      </c>
      <c r="K44" s="28">
        <v>120</v>
      </c>
      <c r="L44" s="28">
        <v>110</v>
      </c>
      <c r="M44" s="32"/>
      <c r="N44" s="32"/>
      <c r="S44" s="28">
        <v>110</v>
      </c>
      <c r="T44" s="28">
        <v>118</v>
      </c>
      <c r="U44" s="32"/>
    </row>
    <row r="45" spans="2:22" s="28" customFormat="1" x14ac:dyDescent="0.2">
      <c r="B45" s="28" t="s">
        <v>75</v>
      </c>
      <c r="J45" s="28">
        <v>259</v>
      </c>
      <c r="K45" s="28">
        <v>330</v>
      </c>
      <c r="L45" s="28">
        <v>309</v>
      </c>
      <c r="M45" s="32"/>
      <c r="N45" s="32"/>
      <c r="S45" s="28">
        <v>199</v>
      </c>
      <c r="T45" s="28">
        <v>259</v>
      </c>
      <c r="U45" s="32"/>
    </row>
    <row r="46" spans="2:22" s="28" customFormat="1" x14ac:dyDescent="0.2">
      <c r="B46" s="28" t="s">
        <v>76</v>
      </c>
      <c r="C46" s="28">
        <f t="shared" ref="C46:K46" si="20">+SUM(C41:C45)</f>
        <v>0</v>
      </c>
      <c r="D46" s="28">
        <f t="shared" si="20"/>
        <v>0</v>
      </c>
      <c r="E46" s="28">
        <f t="shared" si="20"/>
        <v>0</v>
      </c>
      <c r="F46" s="28">
        <f t="shared" si="20"/>
        <v>0</v>
      </c>
      <c r="G46" s="28">
        <f t="shared" si="20"/>
        <v>0</v>
      </c>
      <c r="H46" s="28">
        <f t="shared" si="20"/>
        <v>0</v>
      </c>
      <c r="I46" s="28">
        <f t="shared" si="20"/>
        <v>0</v>
      </c>
      <c r="J46" s="28">
        <f t="shared" si="20"/>
        <v>1570</v>
      </c>
      <c r="K46" s="28">
        <f t="shared" si="20"/>
        <v>1651</v>
      </c>
      <c r="L46" s="28">
        <f>+SUM(L41:L45)</f>
        <v>1739</v>
      </c>
      <c r="M46" s="32"/>
      <c r="N46" s="32"/>
      <c r="Q46" s="28">
        <f t="shared" ref="Q46:T46" si="21">+SUM(Q41:Q45)</f>
        <v>0</v>
      </c>
      <c r="R46" s="28">
        <f t="shared" si="21"/>
        <v>0</v>
      </c>
      <c r="S46" s="28">
        <f t="shared" si="21"/>
        <v>1407</v>
      </c>
      <c r="T46" s="28">
        <f t="shared" si="21"/>
        <v>1570</v>
      </c>
      <c r="U46" s="32"/>
    </row>
    <row r="47" spans="2:22" s="28" customFormat="1" x14ac:dyDescent="0.2">
      <c r="B47" s="28" t="s">
        <v>77</v>
      </c>
      <c r="J47" s="28">
        <v>75</v>
      </c>
      <c r="K47" s="28">
        <v>82</v>
      </c>
      <c r="L47" s="28">
        <v>90</v>
      </c>
      <c r="M47" s="32"/>
      <c r="N47" s="32"/>
      <c r="S47" s="28">
        <v>61</v>
      </c>
      <c r="T47" s="28">
        <v>75</v>
      </c>
      <c r="U47" s="32"/>
    </row>
    <row r="48" spans="2:22" s="28" customFormat="1" x14ac:dyDescent="0.2">
      <c r="B48" s="28" t="s">
        <v>78</v>
      </c>
      <c r="J48" s="28">
        <v>36</v>
      </c>
      <c r="K48" s="28">
        <v>34</v>
      </c>
      <c r="L48" s="28">
        <v>33</v>
      </c>
      <c r="M48" s="32"/>
      <c r="N48" s="32"/>
      <c r="S48" s="28">
        <v>77</v>
      </c>
      <c r="T48" s="28">
        <v>36</v>
      </c>
      <c r="U48" s="32"/>
    </row>
    <row r="49" spans="2:21" s="28" customFormat="1" x14ac:dyDescent="0.2">
      <c r="B49" s="28" t="s">
        <v>79</v>
      </c>
      <c r="J49" s="28">
        <f>26+113</f>
        <v>139</v>
      </c>
      <c r="K49" s="28">
        <f>25+113</f>
        <v>138</v>
      </c>
      <c r="L49" s="28">
        <f>23+113</f>
        <v>136</v>
      </c>
      <c r="M49" s="32"/>
      <c r="N49" s="32"/>
      <c r="S49" s="28">
        <f>29+107</f>
        <v>136</v>
      </c>
      <c r="T49" s="28">
        <f>26+113</f>
        <v>139</v>
      </c>
      <c r="U49" s="32"/>
    </row>
    <row r="50" spans="2:21" s="28" customFormat="1" x14ac:dyDescent="0.2">
      <c r="B50" s="28" t="s">
        <v>80</v>
      </c>
      <c r="J50" s="28">
        <v>55</v>
      </c>
      <c r="K50" s="28">
        <v>57</v>
      </c>
      <c r="L50" s="28">
        <v>58</v>
      </c>
      <c r="M50" s="32"/>
      <c r="N50" s="32"/>
      <c r="S50" s="28">
        <v>28</v>
      </c>
      <c r="T50" s="28">
        <v>55</v>
      </c>
      <c r="U50" s="32"/>
    </row>
    <row r="51" spans="2:21" s="28" customFormat="1" x14ac:dyDescent="0.2">
      <c r="B51" s="28" t="s">
        <v>81</v>
      </c>
      <c r="J51" s="28">
        <v>83</v>
      </c>
      <c r="K51" s="28">
        <v>90</v>
      </c>
      <c r="L51" s="28">
        <v>99</v>
      </c>
      <c r="M51" s="32"/>
      <c r="N51" s="32"/>
      <c r="S51" s="28">
        <v>52</v>
      </c>
      <c r="T51" s="28">
        <v>83</v>
      </c>
      <c r="U51" s="32"/>
    </row>
    <row r="52" spans="2:21" s="28" customFormat="1" x14ac:dyDescent="0.2">
      <c r="B52" s="28" t="s">
        <v>82</v>
      </c>
      <c r="C52" s="28">
        <f t="shared" ref="C52:K52" si="22">+SUM(C47:C51)</f>
        <v>0</v>
      </c>
      <c r="D52" s="28">
        <f t="shared" si="22"/>
        <v>0</v>
      </c>
      <c r="E52" s="28">
        <f t="shared" si="22"/>
        <v>0</v>
      </c>
      <c r="F52" s="28">
        <f t="shared" si="22"/>
        <v>0</v>
      </c>
      <c r="G52" s="28">
        <f t="shared" si="22"/>
        <v>0</v>
      </c>
      <c r="H52" s="28">
        <f t="shared" si="22"/>
        <v>0</v>
      </c>
      <c r="I52" s="28">
        <f t="shared" si="22"/>
        <v>0</v>
      </c>
      <c r="J52" s="28">
        <f t="shared" si="22"/>
        <v>388</v>
      </c>
      <c r="K52" s="28">
        <f t="shared" si="22"/>
        <v>401</v>
      </c>
      <c r="L52" s="28">
        <f>+SUM(L47:L51)</f>
        <v>416</v>
      </c>
      <c r="M52" s="32"/>
      <c r="N52" s="32"/>
      <c r="Q52" s="28">
        <f t="shared" ref="Q52:T52" si="23">+SUM(Q47:Q51)</f>
        <v>0</v>
      </c>
      <c r="R52" s="28">
        <f t="shared" si="23"/>
        <v>0</v>
      </c>
      <c r="S52" s="28">
        <f t="shared" si="23"/>
        <v>354</v>
      </c>
      <c r="T52" s="28">
        <f t="shared" si="23"/>
        <v>388</v>
      </c>
      <c r="U52" s="32"/>
    </row>
    <row r="53" spans="2:21" s="28" customFormat="1" x14ac:dyDescent="0.2">
      <c r="B53" s="28" t="s">
        <v>83</v>
      </c>
      <c r="C53" s="28">
        <f t="shared" ref="C53:K53" si="24">+C46+C52</f>
        <v>0</v>
      </c>
      <c r="D53" s="28">
        <f t="shared" si="24"/>
        <v>0</v>
      </c>
      <c r="E53" s="28">
        <f t="shared" si="24"/>
        <v>0</v>
      </c>
      <c r="F53" s="28">
        <f t="shared" si="24"/>
        <v>0</v>
      </c>
      <c r="G53" s="28">
        <f t="shared" si="24"/>
        <v>0</v>
      </c>
      <c r="H53" s="28">
        <f t="shared" si="24"/>
        <v>0</v>
      </c>
      <c r="I53" s="28">
        <f t="shared" si="24"/>
        <v>0</v>
      </c>
      <c r="J53" s="28">
        <f t="shared" si="24"/>
        <v>1958</v>
      </c>
      <c r="K53" s="28">
        <f t="shared" si="24"/>
        <v>2052</v>
      </c>
      <c r="L53" s="28">
        <f>+L46+L52</f>
        <v>2155</v>
      </c>
      <c r="M53" s="32"/>
      <c r="N53" s="32"/>
      <c r="Q53" s="28">
        <f t="shared" ref="Q53:T53" si="25">+Q46+Q52</f>
        <v>0</v>
      </c>
      <c r="R53" s="28">
        <f t="shared" si="25"/>
        <v>0</v>
      </c>
      <c r="S53" s="28">
        <f t="shared" si="25"/>
        <v>1761</v>
      </c>
      <c r="T53" s="28">
        <f t="shared" si="25"/>
        <v>1958</v>
      </c>
      <c r="U53" s="32"/>
    </row>
    <row r="54" spans="2:21" s="28" customFormat="1" x14ac:dyDescent="0.2">
      <c r="M54" s="32"/>
      <c r="N54" s="32"/>
      <c r="U54" s="32"/>
    </row>
    <row r="55" spans="2:21" s="28" customFormat="1" x14ac:dyDescent="0.2">
      <c r="B55" s="28" t="s">
        <v>84</v>
      </c>
      <c r="J55" s="28">
        <v>32</v>
      </c>
      <c r="K55" s="28">
        <v>49</v>
      </c>
      <c r="L55" s="28">
        <v>33</v>
      </c>
      <c r="M55" s="32"/>
      <c r="N55" s="32"/>
      <c r="S55" s="28">
        <v>30</v>
      </c>
      <c r="T55" s="28">
        <v>32</v>
      </c>
      <c r="U55" s="32"/>
    </row>
    <row r="56" spans="2:21" s="28" customFormat="1" x14ac:dyDescent="0.2">
      <c r="B56" s="28" t="s">
        <v>85</v>
      </c>
      <c r="J56" s="28">
        <v>39</v>
      </c>
      <c r="K56" s="28">
        <v>50</v>
      </c>
      <c r="L56" s="28">
        <v>62</v>
      </c>
      <c r="M56" s="32"/>
      <c r="N56" s="32"/>
      <c r="S56" s="28">
        <v>39</v>
      </c>
      <c r="T56" s="28">
        <v>39</v>
      </c>
      <c r="U56" s="32"/>
    </row>
    <row r="57" spans="2:21" s="28" customFormat="1" x14ac:dyDescent="0.2">
      <c r="B57" s="28" t="s">
        <v>86</v>
      </c>
      <c r="J57" s="28">
        <v>592</v>
      </c>
      <c r="K57" s="28">
        <v>614</v>
      </c>
      <c r="L57" s="28">
        <v>641</v>
      </c>
      <c r="M57" s="32"/>
      <c r="N57" s="32"/>
      <c r="S57" s="28">
        <v>427</v>
      </c>
      <c r="T57" s="28">
        <v>592</v>
      </c>
      <c r="U57" s="32"/>
    </row>
    <row r="58" spans="2:21" s="28" customFormat="1" x14ac:dyDescent="0.2">
      <c r="B58" s="28" t="s">
        <v>87</v>
      </c>
      <c r="C58" s="28">
        <f t="shared" ref="C58:K58" si="26">+SUM(C55:C57)</f>
        <v>0</v>
      </c>
      <c r="D58" s="28">
        <f t="shared" si="26"/>
        <v>0</v>
      </c>
      <c r="E58" s="28">
        <f t="shared" si="26"/>
        <v>0</v>
      </c>
      <c r="F58" s="28">
        <f t="shared" si="26"/>
        <v>0</v>
      </c>
      <c r="G58" s="28">
        <f t="shared" si="26"/>
        <v>0</v>
      </c>
      <c r="H58" s="28">
        <f t="shared" si="26"/>
        <v>0</v>
      </c>
      <c r="I58" s="28">
        <f t="shared" si="26"/>
        <v>0</v>
      </c>
      <c r="J58" s="28">
        <f t="shared" si="26"/>
        <v>663</v>
      </c>
      <c r="K58" s="28">
        <f t="shared" si="26"/>
        <v>713</v>
      </c>
      <c r="L58" s="28">
        <f>+SUM(L55:L57)</f>
        <v>736</v>
      </c>
      <c r="M58" s="32"/>
      <c r="N58" s="32"/>
      <c r="Q58" s="28">
        <f t="shared" ref="Q58:T58" si="27">+SUM(Q55:Q57)</f>
        <v>0</v>
      </c>
      <c r="R58" s="28">
        <f t="shared" si="27"/>
        <v>0</v>
      </c>
      <c r="S58" s="28">
        <f t="shared" si="27"/>
        <v>496</v>
      </c>
      <c r="T58" s="28">
        <f t="shared" si="27"/>
        <v>663</v>
      </c>
      <c r="U58" s="32"/>
    </row>
    <row r="59" spans="2:21" s="28" customFormat="1" x14ac:dyDescent="0.2">
      <c r="B59" s="28" t="s">
        <v>88</v>
      </c>
      <c r="J59" s="28">
        <v>64</v>
      </c>
      <c r="K59" s="28">
        <v>100</v>
      </c>
      <c r="L59" s="28">
        <v>101</v>
      </c>
      <c r="M59" s="32"/>
      <c r="N59" s="32"/>
      <c r="S59" s="28">
        <v>68</v>
      </c>
      <c r="T59" s="28">
        <v>64</v>
      </c>
      <c r="U59" s="32"/>
    </row>
    <row r="60" spans="2:21" s="28" customFormat="1" x14ac:dyDescent="0.2">
      <c r="B60" s="28" t="s">
        <v>89</v>
      </c>
      <c r="J60" s="28">
        <v>33</v>
      </c>
      <c r="K60" s="28">
        <v>30</v>
      </c>
      <c r="L60" s="28">
        <v>29</v>
      </c>
      <c r="M60" s="32"/>
      <c r="N60" s="32"/>
      <c r="S60" s="28">
        <v>80</v>
      </c>
      <c r="T60" s="28">
        <v>33</v>
      </c>
      <c r="U60" s="32"/>
    </row>
    <row r="61" spans="2:21" s="28" customFormat="1" x14ac:dyDescent="0.2">
      <c r="B61" s="28" t="s">
        <v>90</v>
      </c>
      <c r="J61" s="28">
        <v>4</v>
      </c>
      <c r="K61" s="28">
        <v>6</v>
      </c>
      <c r="L61" s="28">
        <v>6</v>
      </c>
      <c r="M61" s="32"/>
      <c r="N61" s="32"/>
      <c r="S61" s="28">
        <v>19</v>
      </c>
      <c r="T61" s="28">
        <v>4</v>
      </c>
      <c r="U61" s="32"/>
    </row>
    <row r="62" spans="2:21" s="28" customFormat="1" x14ac:dyDescent="0.2">
      <c r="B62" s="28" t="s">
        <v>91</v>
      </c>
      <c r="C62" s="28">
        <f t="shared" ref="C62:K62" si="28">SUM(C58:C61)</f>
        <v>0</v>
      </c>
      <c r="D62" s="28">
        <f t="shared" si="28"/>
        <v>0</v>
      </c>
      <c r="E62" s="28">
        <f t="shared" si="28"/>
        <v>0</v>
      </c>
      <c r="F62" s="28">
        <f t="shared" si="28"/>
        <v>0</v>
      </c>
      <c r="G62" s="28">
        <f t="shared" si="28"/>
        <v>0</v>
      </c>
      <c r="H62" s="28">
        <f t="shared" si="28"/>
        <v>0</v>
      </c>
      <c r="I62" s="28">
        <f t="shared" si="28"/>
        <v>0</v>
      </c>
      <c r="J62" s="28">
        <f t="shared" si="28"/>
        <v>764</v>
      </c>
      <c r="K62" s="28">
        <f t="shared" si="28"/>
        <v>849</v>
      </c>
      <c r="L62" s="28">
        <f>SUM(L58:L61)</f>
        <v>872</v>
      </c>
      <c r="M62" s="32"/>
      <c r="N62" s="32"/>
      <c r="Q62" s="28">
        <f t="shared" ref="Q62:T62" si="29">SUM(Q58:Q61)</f>
        <v>0</v>
      </c>
      <c r="R62" s="28">
        <f t="shared" si="29"/>
        <v>0</v>
      </c>
      <c r="S62" s="28">
        <f t="shared" si="29"/>
        <v>663</v>
      </c>
      <c r="T62" s="28">
        <f t="shared" si="29"/>
        <v>764</v>
      </c>
      <c r="U62" s="32"/>
    </row>
    <row r="64" spans="2:21" s="28" customFormat="1" x14ac:dyDescent="0.2">
      <c r="B64" s="28" t="s">
        <v>92</v>
      </c>
      <c r="J64" s="28">
        <v>1194</v>
      </c>
      <c r="K64" s="28">
        <v>1203</v>
      </c>
      <c r="L64" s="28">
        <v>1283</v>
      </c>
      <c r="M64" s="32"/>
      <c r="N64" s="32"/>
      <c r="S64" s="28">
        <v>1098</v>
      </c>
      <c r="T64" s="28">
        <v>1194</v>
      </c>
      <c r="U64" s="32"/>
    </row>
    <row r="65" spans="2:21" s="28" customFormat="1" x14ac:dyDescent="0.2">
      <c r="B65" s="28" t="s">
        <v>93</v>
      </c>
      <c r="J65" s="28">
        <f>+J64+J62</f>
        <v>1958</v>
      </c>
      <c r="K65" s="28">
        <f>+K64+K62</f>
        <v>2052</v>
      </c>
      <c r="L65" s="28">
        <f>+L64+L62</f>
        <v>2155</v>
      </c>
      <c r="M65" s="32"/>
      <c r="N65" s="32"/>
      <c r="S65" s="28">
        <f t="shared" ref="S65:T65" si="30">+S64+S62</f>
        <v>1761</v>
      </c>
      <c r="T65" s="28">
        <f t="shared" si="30"/>
        <v>1958</v>
      </c>
      <c r="U65" s="32"/>
    </row>
    <row r="67" spans="2:21" x14ac:dyDescent="0.2">
      <c r="B67" s="1" t="s">
        <v>94</v>
      </c>
      <c r="J67" s="28"/>
      <c r="K67" s="28">
        <f>+K53-K62</f>
        <v>1203</v>
      </c>
      <c r="L67" s="28">
        <f>+L53-L62</f>
        <v>1283</v>
      </c>
      <c r="S67" s="28">
        <f>+S53-S62</f>
        <v>1098</v>
      </c>
      <c r="T67" s="28">
        <f>+T53-T62</f>
        <v>1194</v>
      </c>
    </row>
    <row r="68" spans="2:21" x14ac:dyDescent="0.2">
      <c r="B68" s="1" t="s">
        <v>95</v>
      </c>
      <c r="K68" s="1">
        <f>+K67/K26</f>
        <v>2.1992687385740401</v>
      </c>
      <c r="L68" s="1">
        <f>+L67/L26</f>
        <v>2.3075539568345325</v>
      </c>
      <c r="S68" s="1">
        <f>+S67/S26</f>
        <v>2.14453125</v>
      </c>
      <c r="T68" s="1">
        <f>+T67/T26</f>
        <v>2.244360902255639</v>
      </c>
    </row>
    <row r="70" spans="2:21" x14ac:dyDescent="0.2">
      <c r="B70" s="1" t="s">
        <v>6</v>
      </c>
      <c r="C70" s="28">
        <f t="shared" ref="C70:K70" si="31">+C41+C42</f>
        <v>0</v>
      </c>
      <c r="D70" s="28">
        <f t="shared" si="31"/>
        <v>0</v>
      </c>
      <c r="E70" s="28">
        <f t="shared" si="31"/>
        <v>0</v>
      </c>
      <c r="F70" s="28">
        <f t="shared" si="31"/>
        <v>0</v>
      </c>
      <c r="G70" s="28">
        <f t="shared" si="31"/>
        <v>0</v>
      </c>
      <c r="H70" s="28">
        <f t="shared" si="31"/>
        <v>0</v>
      </c>
      <c r="I70" s="28">
        <f t="shared" si="31"/>
        <v>0</v>
      </c>
      <c r="J70" s="28">
        <f t="shared" si="31"/>
        <v>1124</v>
      </c>
      <c r="K70" s="28">
        <f t="shared" si="31"/>
        <v>1115</v>
      </c>
      <c r="L70" s="28">
        <f>+L41+L42</f>
        <v>1219</v>
      </c>
      <c r="S70" s="28">
        <f>+S41+S42</f>
        <v>1021</v>
      </c>
      <c r="T70" s="28">
        <f>+T41+T42</f>
        <v>1124</v>
      </c>
    </row>
    <row r="71" spans="2:21" x14ac:dyDescent="0.2">
      <c r="B71" s="1" t="s">
        <v>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S71" s="1">
        <v>0</v>
      </c>
      <c r="T71" s="1">
        <v>0</v>
      </c>
    </row>
    <row r="72" spans="2:21" x14ac:dyDescent="0.2">
      <c r="B72" s="1" t="s">
        <v>8</v>
      </c>
      <c r="C72" s="28">
        <f t="shared" ref="C72:K72" si="32">+C70-C71</f>
        <v>0</v>
      </c>
      <c r="D72" s="28">
        <f t="shared" si="32"/>
        <v>0</v>
      </c>
      <c r="E72" s="28">
        <f t="shared" si="32"/>
        <v>0</v>
      </c>
      <c r="F72" s="28">
        <f t="shared" si="32"/>
        <v>0</v>
      </c>
      <c r="G72" s="28">
        <f t="shared" si="32"/>
        <v>0</v>
      </c>
      <c r="H72" s="28">
        <f t="shared" si="32"/>
        <v>0</v>
      </c>
      <c r="I72" s="28">
        <f t="shared" si="32"/>
        <v>0</v>
      </c>
      <c r="J72" s="28">
        <f t="shared" si="32"/>
        <v>1124</v>
      </c>
      <c r="K72" s="28">
        <f t="shared" si="32"/>
        <v>1115</v>
      </c>
      <c r="L72" s="28">
        <f>+L70-L71</f>
        <v>1219</v>
      </c>
      <c r="S72" s="28">
        <f>+S70-S71</f>
        <v>1021</v>
      </c>
      <c r="T72" s="28">
        <f>+T70-T71</f>
        <v>1124</v>
      </c>
    </row>
    <row r="74" spans="2:21" x14ac:dyDescent="0.2">
      <c r="B74" s="1" t="s">
        <v>96</v>
      </c>
      <c r="R74" s="1">
        <v>34.71</v>
      </c>
      <c r="S74" s="1">
        <v>18.03</v>
      </c>
      <c r="T74" s="1">
        <v>18.260000000000002</v>
      </c>
    </row>
    <row r="75" spans="2:21" s="28" customFormat="1" x14ac:dyDescent="0.2">
      <c r="B75" s="28" t="s">
        <v>5</v>
      </c>
      <c r="M75" s="32"/>
      <c r="N75" s="32"/>
      <c r="R75" s="28">
        <f>+R74*R26</f>
        <v>10065.9</v>
      </c>
      <c r="S75" s="28">
        <f>+S74*S26</f>
        <v>9231.36</v>
      </c>
      <c r="T75" s="28">
        <f>+T74*T26</f>
        <v>9714.3200000000015</v>
      </c>
      <c r="U75" s="32"/>
    </row>
    <row r="76" spans="2:21" x14ac:dyDescent="0.2">
      <c r="B76" s="1" t="s">
        <v>9</v>
      </c>
      <c r="S76" s="28">
        <f>+S75-S72</f>
        <v>8210.36</v>
      </c>
      <c r="T76" s="28">
        <f>+T75-T72</f>
        <v>8590.3200000000015</v>
      </c>
    </row>
    <row r="78" spans="2:21" s="37" customFormat="1" x14ac:dyDescent="0.2">
      <c r="B78" s="37" t="s">
        <v>21</v>
      </c>
      <c r="M78" s="46"/>
      <c r="N78" s="46"/>
      <c r="S78" s="37">
        <f>+S74/S68</f>
        <v>8.4074316939890714</v>
      </c>
      <c r="T78" s="37">
        <f>+T74/T68</f>
        <v>8.1359463986599678</v>
      </c>
      <c r="U78" s="46"/>
    </row>
    <row r="79" spans="2:21" s="37" customFormat="1" x14ac:dyDescent="0.2">
      <c r="B79" s="37" t="s">
        <v>22</v>
      </c>
      <c r="M79" s="46"/>
      <c r="N79" s="46"/>
      <c r="S79" s="37">
        <f t="shared" ref="S79" si="33">+S75/S7</f>
        <v>3.3802123764188945</v>
      </c>
      <c r="T79" s="37">
        <f>+T75/T7</f>
        <v>2.513407503234153</v>
      </c>
      <c r="U79" s="46"/>
    </row>
    <row r="80" spans="2:21" s="37" customFormat="1" x14ac:dyDescent="0.2">
      <c r="B80" s="37" t="s">
        <v>23</v>
      </c>
      <c r="M80" s="46"/>
      <c r="N80" s="46"/>
      <c r="S80" s="37">
        <f t="shared" ref="S80" si="34">+S76/S7</f>
        <v>3.0063566459172466</v>
      </c>
      <c r="T80" s="37">
        <f>+T76/T7</f>
        <v>2.2225924967658477</v>
      </c>
      <c r="U80" s="46"/>
    </row>
    <row r="81" spans="2:20" x14ac:dyDescent="0.2">
      <c r="B81" s="1" t="s">
        <v>24</v>
      </c>
    </row>
    <row r="82" spans="2:20" x14ac:dyDescent="0.2">
      <c r="B82" s="1" t="s">
        <v>25</v>
      </c>
    </row>
    <row r="85" spans="2:20" x14ac:dyDescent="0.2">
      <c r="B85" s="26" t="s">
        <v>114</v>
      </c>
    </row>
    <row r="86" spans="2:20" x14ac:dyDescent="0.2">
      <c r="B86" s="1" t="s">
        <v>115</v>
      </c>
      <c r="G86" s="1">
        <v>-55</v>
      </c>
      <c r="H86" s="1">
        <f>-5-G86</f>
        <v>50</v>
      </c>
      <c r="I86" s="1">
        <f>43-SUM(G86:H86)</f>
        <v>48</v>
      </c>
      <c r="J86" s="1">
        <f>+T86-SUM(G86:I86)</f>
        <v>92</v>
      </c>
      <c r="K86" s="1">
        <v>-20</v>
      </c>
      <c r="L86" s="1">
        <f>104-K86</f>
        <v>124</v>
      </c>
      <c r="R86" s="1">
        <v>2</v>
      </c>
      <c r="S86" s="1">
        <v>-156</v>
      </c>
      <c r="T86" s="1">
        <v>135</v>
      </c>
    </row>
    <row r="87" spans="2:20" x14ac:dyDescent="0.2">
      <c r="B87" s="1" t="s">
        <v>116</v>
      </c>
      <c r="G87" s="1">
        <v>-10</v>
      </c>
      <c r="H87" s="1">
        <f>-21-G87</f>
        <v>-11</v>
      </c>
      <c r="I87" s="1">
        <f>(-4-27)-SUM(G87:H87)</f>
        <v>-10</v>
      </c>
      <c r="J87" s="1">
        <f>+T87-SUM(G87:I87)</f>
        <v>-11</v>
      </c>
      <c r="K87" s="1">
        <v>-13</v>
      </c>
      <c r="L87" s="1">
        <f>-29-K87</f>
        <v>-16</v>
      </c>
      <c r="R87" s="1">
        <v>-19</v>
      </c>
      <c r="S87" s="1">
        <v>-33</v>
      </c>
      <c r="T87" s="1">
        <v>-42</v>
      </c>
    </row>
    <row r="88" spans="2:20" x14ac:dyDescent="0.2">
      <c r="G88" s="1">
        <f>+G86+G87</f>
        <v>-65</v>
      </c>
      <c r="H88" s="1">
        <f>+H86+H87</f>
        <v>39</v>
      </c>
      <c r="I88" s="1">
        <f>+I86+I87</f>
        <v>38</v>
      </c>
      <c r="J88" s="1">
        <f>+J86+J87</f>
        <v>81</v>
      </c>
      <c r="K88" s="1">
        <f>+K86+K87</f>
        <v>-33</v>
      </c>
      <c r="L88" s="1">
        <f>+L86+L87</f>
        <v>108</v>
      </c>
      <c r="R88" s="1">
        <f t="shared" ref="R88:T88" si="35">+R86+R87</f>
        <v>-17</v>
      </c>
      <c r="S88" s="1">
        <f t="shared" si="35"/>
        <v>-189</v>
      </c>
      <c r="T88" s="1">
        <f t="shared" si="35"/>
        <v>93</v>
      </c>
    </row>
  </sheetData>
  <hyperlinks>
    <hyperlink ref="L1" r:id="rId1" xr:uid="{0837F40A-0FAC-4C73-8A4B-272E5AFA93D3}"/>
    <hyperlink ref="J1" r:id="rId2" xr:uid="{559A6669-5F84-466A-BA53-74250CAF3327}"/>
    <hyperlink ref="T1" r:id="rId3" xr:uid="{7E9D3DFB-21DF-4967-8FE8-C7C35F737CBB}"/>
    <hyperlink ref="I1" r:id="rId4" xr:uid="{BA3992CA-0B4B-4E34-BBED-29391D9BB849}"/>
  </hyperlinks>
  <pageMargins left="0.7" right="0.7" top="0.75" bottom="0.75" header="0.3" footer="0.3"/>
  <pageSetup orientation="portrait" r:id="rId5"/>
  <ignoredErrors>
    <ignoredError sqref="U22 J7 J22" formula="1"/>
  </ignoredError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2024-11-04T16:05:30Z</cp:lastPrinted>
  <dcterms:created xsi:type="dcterms:W3CDTF">2024-11-04T15:48:48Z</dcterms:created>
  <dcterms:modified xsi:type="dcterms:W3CDTF">2024-11-04T18:05:34Z</dcterms:modified>
</cp:coreProperties>
</file>