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CB07CCB2-2D0F-423C-965D-E4D24425D6C1}" xr6:coauthVersionLast="36" xr6:coauthVersionMax="47" xr10:uidLastSave="{00000000-0000-0000-0000-000000000000}"/>
  <bookViews>
    <workbookView xWindow="1635" yWindow="1260" windowWidth="27165" windowHeight="14100" activeTab="1" xr2:uid="{1B36FFFD-D458-4A57-865C-CCAC07CF1B21}"/>
  </bookViews>
  <sheets>
    <sheet name="Main" sheetId="1" r:id="rId1"/>
    <sheet name="Financial Model" sheetId="2" r:id="rId2"/>
    <sheet name="Data Visualisation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8" i="2" l="1"/>
  <c r="O80" i="2"/>
  <c r="O79" i="2"/>
  <c r="O81" i="2" s="1"/>
  <c r="O76" i="2"/>
  <c r="O77" i="2" s="1"/>
  <c r="O74" i="2"/>
  <c r="O71" i="2"/>
  <c r="O58" i="2"/>
  <c r="O48" i="2"/>
  <c r="P88" i="2" l="1"/>
  <c r="Q88" i="2"/>
  <c r="C40" i="1"/>
  <c r="C35" i="1"/>
  <c r="C10" i="1"/>
  <c r="C9" i="1"/>
  <c r="C7" i="1"/>
  <c r="C27" i="1"/>
  <c r="D30" i="1"/>
  <c r="N84" i="2"/>
  <c r="O84" i="2"/>
  <c r="P84" i="2"/>
  <c r="Q84" i="2"/>
  <c r="Q100" i="2"/>
  <c r="Q98" i="2"/>
  <c r="Q81" i="2"/>
  <c r="Q80" i="2"/>
  <c r="Q79" i="2"/>
  <c r="Q76" i="2"/>
  <c r="Q77" i="2" s="1"/>
  <c r="Q74" i="2"/>
  <c r="Q48" i="2"/>
  <c r="Q71" i="2"/>
  <c r="Q58" i="2"/>
  <c r="Q27" i="2"/>
  <c r="Q26" i="2"/>
  <c r="Q25" i="2"/>
  <c r="Q24" i="2"/>
  <c r="Q18" i="2"/>
  <c r="Q17" i="2"/>
  <c r="Q8" i="2"/>
  <c r="Q12" i="2" s="1"/>
  <c r="Q15" i="2" s="1"/>
  <c r="Q35" i="2"/>
  <c r="Q33" i="2"/>
  <c r="Q31" i="2"/>
  <c r="Q22" i="2"/>
  <c r="Q21" i="2"/>
  <c r="C28" i="1" l="1"/>
  <c r="Z43" i="2"/>
  <c r="AA43" i="2"/>
  <c r="Y42" i="2"/>
  <c r="Z42" i="2"/>
  <c r="AA42" i="2"/>
  <c r="F24" i="2"/>
  <c r="J35" i="2"/>
  <c r="J33" i="2"/>
  <c r="J31" i="2"/>
  <c r="F36" i="2"/>
  <c r="F34" i="2"/>
  <c r="F32" i="2"/>
  <c r="F30" i="2"/>
  <c r="J32" i="2"/>
  <c r="N33" i="2" s="1"/>
  <c r="J21" i="2"/>
  <c r="G22" i="2"/>
  <c r="F22" i="2"/>
  <c r="F16" i="2"/>
  <c r="F14" i="2"/>
  <c r="F13" i="2"/>
  <c r="F11" i="2"/>
  <c r="F10" i="2"/>
  <c r="F9" i="2"/>
  <c r="F7" i="2"/>
  <c r="F19" i="2"/>
  <c r="F8" i="2"/>
  <c r="F4" i="2"/>
  <c r="F5" i="2"/>
  <c r="F6" i="2"/>
  <c r="I31" i="2"/>
  <c r="I33" i="2"/>
  <c r="I35" i="2"/>
  <c r="I21" i="2"/>
  <c r="E22" i="2"/>
  <c r="E27" i="2"/>
  <c r="E26" i="2"/>
  <c r="E25" i="2"/>
  <c r="E24" i="2"/>
  <c r="E8" i="2"/>
  <c r="E12" i="2" s="1"/>
  <c r="E15" i="2" s="1"/>
  <c r="E17" i="2" s="1"/>
  <c r="E18" i="2" s="1"/>
  <c r="F2" i="2"/>
  <c r="J2" i="2"/>
  <c r="K35" i="2"/>
  <c r="K33" i="2"/>
  <c r="K31" i="2"/>
  <c r="N35" i="2"/>
  <c r="N31" i="2"/>
  <c r="N36" i="2"/>
  <c r="N34" i="2"/>
  <c r="N32" i="2"/>
  <c r="N30" i="2"/>
  <c r="J36" i="2"/>
  <c r="J34" i="2"/>
  <c r="J30" i="2"/>
  <c r="J24" i="2"/>
  <c r="K21" i="2"/>
  <c r="N21" i="2"/>
  <c r="K22" i="2"/>
  <c r="J22" i="2"/>
  <c r="J19" i="2"/>
  <c r="J16" i="2"/>
  <c r="J14" i="2"/>
  <c r="J13" i="2"/>
  <c r="J11" i="2"/>
  <c r="J12" i="2" s="1"/>
  <c r="J25" i="2" s="1"/>
  <c r="J10" i="2"/>
  <c r="J9" i="2"/>
  <c r="J8" i="2"/>
  <c r="J7" i="2"/>
  <c r="J6" i="2"/>
  <c r="J5" i="2"/>
  <c r="J4" i="2"/>
  <c r="G31" i="2"/>
  <c r="G33" i="2"/>
  <c r="G35" i="2"/>
  <c r="G21" i="2"/>
  <c r="D22" i="2"/>
  <c r="H22" i="2"/>
  <c r="G27" i="2"/>
  <c r="G26" i="2"/>
  <c r="G25" i="2"/>
  <c r="G24" i="2"/>
  <c r="C27" i="2"/>
  <c r="C26" i="2"/>
  <c r="C25" i="2"/>
  <c r="C24" i="2"/>
  <c r="C8" i="2"/>
  <c r="C12" i="2" s="1"/>
  <c r="C15" i="2" s="1"/>
  <c r="C17" i="2" s="1"/>
  <c r="C18" i="2" s="1"/>
  <c r="G8" i="2"/>
  <c r="G12" i="2" s="1"/>
  <c r="G15" i="2" s="1"/>
  <c r="G17" i="2" s="1"/>
  <c r="G18" i="2" s="1"/>
  <c r="H35" i="2"/>
  <c r="H33" i="2"/>
  <c r="L35" i="2"/>
  <c r="L33" i="2"/>
  <c r="H31" i="2"/>
  <c r="L31" i="2"/>
  <c r="H21" i="2"/>
  <c r="D27" i="2"/>
  <c r="D26" i="2"/>
  <c r="D25" i="2"/>
  <c r="D24" i="2"/>
  <c r="D8" i="2"/>
  <c r="D12" i="2" s="1"/>
  <c r="D15" i="2" s="1"/>
  <c r="D17" i="2" s="1"/>
  <c r="D18" i="2" s="1"/>
  <c r="L21" i="2"/>
  <c r="I22" i="2"/>
  <c r="H27" i="2"/>
  <c r="H26" i="2"/>
  <c r="H25" i="2"/>
  <c r="H24" i="2"/>
  <c r="H8" i="2"/>
  <c r="H12" i="2" s="1"/>
  <c r="H15" i="2" s="1"/>
  <c r="H17" i="2" s="1"/>
  <c r="H18" i="2" s="1"/>
  <c r="Z35" i="2"/>
  <c r="AA35" i="2"/>
  <c r="Z33" i="2"/>
  <c r="AA33" i="2"/>
  <c r="Z31" i="2"/>
  <c r="AA31" i="2"/>
  <c r="N5" i="2"/>
  <c r="N4" i="2"/>
  <c r="F12" i="2" l="1"/>
  <c r="J15" i="2"/>
  <c r="F25" i="2" l="1"/>
  <c r="F15" i="2"/>
  <c r="J17" i="2"/>
  <c r="J27" i="2"/>
  <c r="J26" i="2" l="1"/>
  <c r="J18" i="2"/>
  <c r="F17" i="2"/>
  <c r="F27" i="2"/>
  <c r="F18" i="2" l="1"/>
  <c r="F26" i="2"/>
  <c r="M31" i="2" l="1"/>
  <c r="M33" i="2"/>
  <c r="M35" i="2"/>
  <c r="O31" i="2"/>
  <c r="O33" i="2"/>
  <c r="O35" i="2"/>
  <c r="P35" i="2" l="1"/>
  <c r="P33" i="2"/>
  <c r="P31" i="2"/>
  <c r="Z24" i="2" l="1"/>
  <c r="Z21" i="2"/>
  <c r="AA21" i="2"/>
  <c r="Y8" i="2"/>
  <c r="Y12" i="2" s="1"/>
  <c r="Y15" i="2" s="1"/>
  <c r="Y17" i="2" s="1"/>
  <c r="Y26" i="2" s="1"/>
  <c r="Z8" i="2"/>
  <c r="Z12" i="2" s="1"/>
  <c r="Z15" i="2" s="1"/>
  <c r="Z17" i="2" s="1"/>
  <c r="Z18" i="2" s="1"/>
  <c r="Z26" i="2" l="1"/>
  <c r="Z25" i="2"/>
  <c r="Z27" i="2"/>
  <c r="Y24" i="2"/>
  <c r="Y18" i="2"/>
  <c r="Y25" i="2"/>
  <c r="Y27" i="2"/>
  <c r="Y98" i="2"/>
  <c r="Z98" i="2"/>
  <c r="AA98" i="2"/>
  <c r="N22" i="2"/>
  <c r="N16" i="2"/>
  <c r="N14" i="2"/>
  <c r="N13" i="2"/>
  <c r="N11" i="2"/>
  <c r="N10" i="2"/>
  <c r="N9" i="2"/>
  <c r="N7" i="2"/>
  <c r="N6" i="2"/>
  <c r="N8" i="2" s="1"/>
  <c r="N24" i="2" s="1"/>
  <c r="N19" i="2"/>
  <c r="AA8" i="2"/>
  <c r="M96" i="2"/>
  <c r="M21" i="2"/>
  <c r="I8" i="2"/>
  <c r="I12" i="2" s="1"/>
  <c r="I15" i="2" s="1"/>
  <c r="I17" i="2" s="1"/>
  <c r="I18" i="2" s="1"/>
  <c r="M22" i="2"/>
  <c r="M8" i="2"/>
  <c r="M24" i="2" s="1"/>
  <c r="L97" i="2"/>
  <c r="P97" i="2"/>
  <c r="P98" i="2" s="1"/>
  <c r="P100" i="2" s="1"/>
  <c r="L96" i="2"/>
  <c r="P96" i="2"/>
  <c r="K98" i="2"/>
  <c r="K100" i="2" s="1"/>
  <c r="O98" i="2"/>
  <c r="O100" i="2" s="1"/>
  <c r="O21" i="2"/>
  <c r="L22" i="2"/>
  <c r="K8" i="2"/>
  <c r="K12" i="2" s="1"/>
  <c r="K15" i="2" s="1"/>
  <c r="K17" i="2" s="1"/>
  <c r="K18" i="2" s="1"/>
  <c r="P22" i="2"/>
  <c r="O25" i="2"/>
  <c r="O24" i="2"/>
  <c r="O8" i="2"/>
  <c r="O12" i="2" s="1"/>
  <c r="O15" i="2" s="1"/>
  <c r="O17" i="2" s="1"/>
  <c r="O18" i="2" s="1"/>
  <c r="N80" i="2"/>
  <c r="N79" i="2"/>
  <c r="N81" i="2" s="1"/>
  <c r="N48" i="2"/>
  <c r="N58" i="2" s="1"/>
  <c r="N71" i="2"/>
  <c r="N74" i="2" s="1"/>
  <c r="D11" i="1"/>
  <c r="D10" i="1"/>
  <c r="D9" i="1"/>
  <c r="D7" i="1"/>
  <c r="O22" i="2" l="1"/>
  <c r="I26" i="2"/>
  <c r="K25" i="2"/>
  <c r="K26" i="2"/>
  <c r="I27" i="2"/>
  <c r="L98" i="2"/>
  <c r="L100" i="2" s="1"/>
  <c r="I24" i="2"/>
  <c r="K27" i="2"/>
  <c r="I25" i="2"/>
  <c r="M97" i="2"/>
  <c r="M98" i="2" s="1"/>
  <c r="M100" i="2" s="1"/>
  <c r="AA12" i="2"/>
  <c r="AA24" i="2"/>
  <c r="K24" i="2"/>
  <c r="M12" i="2"/>
  <c r="O26" i="2"/>
  <c r="O27" i="2"/>
  <c r="N96" i="2"/>
  <c r="N12" i="2"/>
  <c r="N25" i="2" s="1"/>
  <c r="N15" i="2" l="1"/>
  <c r="N17" i="2" s="1"/>
  <c r="N97" i="2"/>
  <c r="N98" i="2" s="1"/>
  <c r="N100" i="2" s="1"/>
  <c r="M15" i="2"/>
  <c r="M25" i="2"/>
  <c r="AA15" i="2"/>
  <c r="AA25" i="2"/>
  <c r="P80" i="2"/>
  <c r="P79" i="2"/>
  <c r="C11" i="1" s="1"/>
  <c r="P71" i="2"/>
  <c r="P74" i="2" s="1"/>
  <c r="P48" i="2"/>
  <c r="P58" i="2" s="1"/>
  <c r="P21" i="2"/>
  <c r="L8" i="2"/>
  <c r="L12" i="2" s="1"/>
  <c r="L15" i="2" s="1"/>
  <c r="L17" i="2" s="1"/>
  <c r="L18" i="2" s="1"/>
  <c r="P8" i="2"/>
  <c r="C8" i="1"/>
  <c r="C36" i="1" s="1"/>
  <c r="N27" i="2" l="1"/>
  <c r="AA17" i="2"/>
  <c r="AA27" i="2"/>
  <c r="P12" i="2"/>
  <c r="M17" i="2"/>
  <c r="M27" i="2"/>
  <c r="N26" i="2"/>
  <c r="N18" i="2"/>
  <c r="C38" i="1" s="1"/>
  <c r="P76" i="2"/>
  <c r="P77" i="2" s="1"/>
  <c r="P81" i="2"/>
  <c r="P24" i="2"/>
  <c r="L24" i="2"/>
  <c r="L25" i="2"/>
  <c r="L26" i="2"/>
  <c r="P25" i="2"/>
  <c r="P15" i="2"/>
  <c r="L27" i="2"/>
  <c r="C12" i="1"/>
  <c r="M18" i="2" l="1"/>
  <c r="M26" i="2"/>
  <c r="AA18" i="2"/>
  <c r="AA26" i="2"/>
  <c r="P27" i="2"/>
  <c r="P17" i="2"/>
  <c r="P26" i="2" l="1"/>
  <c r="P18" i="2"/>
</calcChain>
</file>

<file path=xl/sharedStrings.xml><?xml version="1.0" encoding="utf-8"?>
<sst xmlns="http://schemas.openxmlformats.org/spreadsheetml/2006/main" count="168" uniqueCount="139">
  <si>
    <t>$SPOT</t>
  </si>
  <si>
    <t>Spotify Technology S.A.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</si>
  <si>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</si>
  <si>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</si>
  <si>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</si>
  <si>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</si>
  <si>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</si>
  <si>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</si>
  <si>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</si>
  <si>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</si>
  <si>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</si>
  <si>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</si>
  <si>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</si>
  <si>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CTO</t>
  </si>
  <si>
    <t>Profile</t>
  </si>
  <si>
    <t>HQ</t>
  </si>
  <si>
    <t>Founded</t>
  </si>
  <si>
    <t>IPO</t>
  </si>
  <si>
    <t>Employ.</t>
  </si>
  <si>
    <t>Update</t>
  </si>
  <si>
    <t>IR</t>
  </si>
  <si>
    <t>Key Events</t>
  </si>
  <si>
    <t>President Donald Trump uses podcasts, many Spotify based, as final surge for campaign. Proven effective</t>
  </si>
  <si>
    <t>Stockholm, Sweden</t>
  </si>
  <si>
    <t>Q224</t>
  </si>
  <si>
    <t>Q124</t>
  </si>
  <si>
    <t>Q423</t>
  </si>
  <si>
    <t>Q323</t>
  </si>
  <si>
    <t>Q223</t>
  </si>
  <si>
    <t>Q123</t>
  </si>
  <si>
    <t>Q324</t>
  </si>
  <si>
    <t>Q424</t>
  </si>
  <si>
    <t>Revenue</t>
  </si>
  <si>
    <t>COGS</t>
  </si>
  <si>
    <t>Gross Profit</t>
  </si>
  <si>
    <t>R&amp;D</t>
  </si>
  <si>
    <t>S&amp;M</t>
  </si>
  <si>
    <t>G&amp;A</t>
  </si>
  <si>
    <t>Operating Income</t>
  </si>
  <si>
    <t>Interest Income</t>
  </si>
  <si>
    <t>Interest Expense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</si>
  <si>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</si>
  <si>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</si>
  <si>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</si>
  <si>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</si>
  <si>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</si>
  <si>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</si>
  <si>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</si>
  <si>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</si>
  <si>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</si>
  <si>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 Rate</t>
  </si>
  <si>
    <t>Non-Finance Metrics</t>
  </si>
  <si>
    <t>MAU</t>
  </si>
  <si>
    <t>Employees</t>
  </si>
  <si>
    <t>Balance Sheet</t>
  </si>
  <si>
    <t>ROU</t>
  </si>
  <si>
    <t>PP&amp;E</t>
  </si>
  <si>
    <t>Goodwill+Intangibles</t>
  </si>
  <si>
    <t>Long-term Investments</t>
  </si>
  <si>
    <t>Restricted Cash</t>
  </si>
  <si>
    <t>Finance Lease</t>
  </si>
  <si>
    <t>Deferred Taxes</t>
  </si>
  <si>
    <t>Trade &amp; A/R</t>
  </si>
  <si>
    <t>Short-Term Investments</t>
  </si>
  <si>
    <t>OCA</t>
  </si>
  <si>
    <t>Assets</t>
  </si>
  <si>
    <t>Notes</t>
  </si>
  <si>
    <t>Lease Liabiltiies</t>
  </si>
  <si>
    <t>Accrued Expenses &amp; OLTL</t>
  </si>
  <si>
    <t>Provisions</t>
  </si>
  <si>
    <t>Trade &amp; A/P</t>
  </si>
  <si>
    <t>Liabilities</t>
  </si>
  <si>
    <t>S/E</t>
  </si>
  <si>
    <t>S/E+L</t>
  </si>
  <si>
    <t>Book Value</t>
  </si>
  <si>
    <t>Book Value per Share</t>
  </si>
  <si>
    <t>Share Price</t>
  </si>
  <si>
    <t>P/B</t>
  </si>
  <si>
    <t>P/S</t>
  </si>
  <si>
    <t>EV/S</t>
  </si>
  <si>
    <t>P/E</t>
  </si>
  <si>
    <t>EV/E</t>
  </si>
  <si>
    <t>Cashflow</t>
  </si>
  <si>
    <t>Deferred Revenue</t>
  </si>
  <si>
    <t>Derivative Liabilities</t>
  </si>
  <si>
    <t xml:space="preserve">Accrued Expenses </t>
  </si>
  <si>
    <t>Valuation Metrics</t>
  </si>
  <si>
    <t>FY18</t>
  </si>
  <si>
    <t>FY19</t>
  </si>
  <si>
    <t>FY20</t>
  </si>
  <si>
    <t>FY21</t>
  </si>
  <si>
    <t>FY22</t>
  </si>
  <si>
    <t>FY23</t>
  </si>
  <si>
    <t>FY24</t>
  </si>
  <si>
    <t>FY26</t>
  </si>
  <si>
    <t>FY25</t>
  </si>
  <si>
    <t>FY27</t>
  </si>
  <si>
    <t>FY28</t>
  </si>
  <si>
    <t>FY29</t>
  </si>
  <si>
    <t>FY30</t>
  </si>
  <si>
    <t>Q422</t>
  </si>
  <si>
    <t>Q322</t>
  </si>
  <si>
    <t>Q222</t>
  </si>
  <si>
    <t>Q122</t>
  </si>
  <si>
    <t>Q421</t>
  </si>
  <si>
    <t>Q121</t>
  </si>
  <si>
    <t>Q221</t>
  </si>
  <si>
    <t>Q321</t>
  </si>
  <si>
    <t>CFFO</t>
  </si>
  <si>
    <t>CapEx</t>
  </si>
  <si>
    <t>FCF</t>
  </si>
  <si>
    <t>Price / FCF</t>
  </si>
  <si>
    <t>P/FCF</t>
  </si>
  <si>
    <t>FCF per Share</t>
  </si>
  <si>
    <t>(EUR Millions)</t>
  </si>
  <si>
    <t>-</t>
  </si>
  <si>
    <t>Subscriber MAU</t>
  </si>
  <si>
    <t>Ad-Supported MAU</t>
  </si>
  <si>
    <t>Premium ARPU (EUR)</t>
  </si>
  <si>
    <t>MAU Y/Y</t>
  </si>
  <si>
    <t>Subscriber MAU Y/Y</t>
  </si>
  <si>
    <t>Ad-Supported MAU Y/Y</t>
  </si>
  <si>
    <t>Premium</t>
  </si>
  <si>
    <t>Ad-Supported</t>
  </si>
  <si>
    <t>Daniel Ek</t>
  </si>
  <si>
    <t>Founder</t>
  </si>
  <si>
    <t>Martin Lorentzon</t>
  </si>
  <si>
    <t>Director</t>
  </si>
  <si>
    <t>CoFounder</t>
  </si>
  <si>
    <t>Paul Vogel</t>
  </si>
  <si>
    <t>Gustav Soderstrom</t>
  </si>
  <si>
    <t>Content Production</t>
  </si>
  <si>
    <t>Sales &amp; Marketing</t>
  </si>
  <si>
    <t>Research &amp; Development</t>
  </si>
  <si>
    <t>General &amp; Administrative</t>
  </si>
  <si>
    <t>Employees Y/Y</t>
  </si>
  <si>
    <t>EUR - USD</t>
  </si>
  <si>
    <t>"The year of monetisation" - Daniel Ek. Announcement soon on "expanding video" Q324 earnings call</t>
  </si>
  <si>
    <t>"Superpremium" tier is in consideration which has appeal to labels and customers according to Ek.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</si>
</sst>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x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sz val="10"/>
      <color theme="4"/>
      <name val="Arial"/>
      <family val="2"/>
    </font>
    <font>
      <i/>
      <sz val="10"/>
      <color theme="1"/>
      <name val="Arial"/>
      <family val="2"/>
    </font>
    <font>
      <i/>
      <sz val="10"/>
      <color theme="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4" xfId="0" applyFont="1" applyFill="1" applyBorder="1"/>
    <xf numFmtId="0" fontId="2" fillId="2" borderId="6" xfId="0" applyFont="1" applyFill="1" applyBorder="1"/>
    <xf numFmtId="0" fontId="2" fillId="4" borderId="4" xfId="0" applyFont="1" applyFill="1" applyBorder="1" applyAlignment="1">
      <alignment horizontal="center"/>
    </xf>
    <xf numFmtId="0" fontId="1" fillId="4" borderId="0" xfId="0" applyFont="1" applyFill="1"/>
    <xf numFmtId="0" fontId="1" fillId="4" borderId="5" xfId="0" applyFont="1" applyFill="1" applyBorder="1"/>
    <xf numFmtId="0" fontId="2" fillId="4" borderId="6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3" fontId="1" fillId="0" borderId="0" xfId="0" applyNumberFormat="1" applyFont="1"/>
    <xf numFmtId="3" fontId="1" fillId="0" borderId="7" xfId="0" applyNumberFormat="1" applyFont="1" applyBorder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7" fontId="2" fillId="2" borderId="4" xfId="0" applyNumberFormat="1" applyFont="1" applyFill="1" applyBorder="1" applyAlignment="1">
      <alignment horizontal="center"/>
    </xf>
    <xf numFmtId="14" fontId="4" fillId="0" borderId="0" xfId="0" applyNumberFormat="1" applyFont="1" applyAlignment="1">
      <alignment horizontal="right"/>
    </xf>
    <xf numFmtId="17" fontId="4" fillId="0" borderId="0" xfId="0" applyNumberFormat="1" applyFont="1" applyAlignment="1">
      <alignment horizontal="right"/>
    </xf>
    <xf numFmtId="2" fontId="1" fillId="0" borderId="0" xfId="0" applyNumberFormat="1" applyFont="1"/>
    <xf numFmtId="3" fontId="2" fillId="0" borderId="0" xfId="0" applyNumberFormat="1" applyFont="1"/>
    <xf numFmtId="9" fontId="1" fillId="0" borderId="0" xfId="0" applyNumberFormat="1" applyFont="1"/>
    <xf numFmtId="0" fontId="6" fillId="0" borderId="0" xfId="1" applyFont="1" applyAlignment="1">
      <alignment horizontal="right"/>
    </xf>
    <xf numFmtId="9" fontId="2" fillId="0" borderId="0" xfId="0" applyNumberFormat="1" applyFont="1"/>
    <xf numFmtId="0" fontId="7" fillId="0" borderId="0" xfId="0" applyFont="1"/>
    <xf numFmtId="15" fontId="1" fillId="4" borderId="5" xfId="0" applyNumberFormat="1" applyFont="1" applyFill="1" applyBorder="1" applyAlignment="1">
      <alignment horizontal="center"/>
    </xf>
    <xf numFmtId="16" fontId="4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9" fontId="1" fillId="0" borderId="0" xfId="0" applyNumberFormat="1" applyFont="1" applyAlignment="1">
      <alignment horizontal="right"/>
    </xf>
    <xf numFmtId="9" fontId="8" fillId="0" borderId="0" xfId="0" applyNumberFormat="1" applyFont="1"/>
    <xf numFmtId="9" fontId="8" fillId="0" borderId="0" xfId="0" applyNumberFormat="1" applyFont="1" applyAlignment="1">
      <alignment horizontal="left" indent="1"/>
    </xf>
    <xf numFmtId="3" fontId="9" fillId="0" borderId="0" xfId="0" applyNumberFormat="1" applyFont="1" applyAlignment="1">
      <alignment horizontal="left" indent="1"/>
    </xf>
    <xf numFmtId="3" fontId="9" fillId="0" borderId="0" xfId="0" applyNumberFormat="1" applyFont="1"/>
    <xf numFmtId="9" fontId="10" fillId="0" borderId="0" xfId="0" applyNumberFormat="1" applyFont="1" applyAlignment="1">
      <alignment horizontal="left" indent="1"/>
    </xf>
    <xf numFmtId="9" fontId="10" fillId="0" borderId="0" xfId="0" applyNumberFormat="1" applyFont="1"/>
    <xf numFmtId="15" fontId="4" fillId="0" borderId="0" xfId="0" applyNumberFormat="1" applyFont="1" applyAlignment="1">
      <alignment horizontal="right"/>
    </xf>
    <xf numFmtId="164" fontId="1" fillId="0" borderId="0" xfId="0" applyNumberFormat="1" applyFont="1"/>
    <xf numFmtId="0" fontId="1" fillId="4" borderId="0" xfId="0" applyFont="1" applyFill="1" applyAlignment="1">
      <alignment horizontal="left" indent="1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64" fontId="1" fillId="4" borderId="0" xfId="0" applyNumberFormat="1" applyFont="1" applyFill="1" applyAlignment="1">
      <alignment horizontal="center"/>
    </xf>
    <xf numFmtId="164" fontId="1" fillId="4" borderId="5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3" fontId="1" fillId="4" borderId="0" xfId="0" applyNumberFormat="1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76200</xdr:colOff>
      <xdr:row>0</xdr:row>
      <xdr:rowOff>66675</xdr:rowOff>
    </xdr:from>
    <xdr:to>
      <xdr:col>4</xdr:col>
      <xdr:colOff>542925</xdr:colOff>
      <xdr:row>3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B0B647B-7B00-8A00-2B33-2EF80EF2E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66675"/>
          <a:ext cx="46672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9525</xdr:colOff>
      <xdr:row>0</xdr:row>
      <xdr:rowOff>19050</xdr:rowOff>
    </xdr:from>
    <xdr:to>
      <xdr:col>17</xdr:col>
      <xdr:colOff>9525</xdr:colOff>
      <xdr:row>118</xdr:row>
      <xdr:rowOff>133350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8C9D80C-E06C-A389-9495-968114510396}"/>
            </a:ext>
          </a:extLst>
        </xdr:cNvPr>
        <xdr:cNvCxnSpPr/>
      </xdr:nvCxnSpPr>
      <xdr:spPr>
        <a:xfrm>
          <a:off x="11039475" y="19050"/>
          <a:ext cx="0" cy="190595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verview%20-%20Tec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Currencies"/>
    </sheetNames>
    <sheetDataSet>
      <sheetData sheetId="0"/>
      <sheetData sheetId="1">
        <row r="4">
          <cell r="C4">
            <v>1.0900000000000001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1639920/000163992021000022/spot-20210930x6xk.htm" TargetMode="External"/><Relationship Id="rId3" Type="http://schemas.openxmlformats.org/officeDocument/2006/relationships/hyperlink" Target="https://www.sec.gov/ix?doc=/Archives/edgar/data/0001639920/000163992024000004/ck0001639920-20231231.htm" TargetMode="External"/><Relationship Id="rId7" Type="http://schemas.openxmlformats.org/officeDocument/2006/relationships/hyperlink" Target="https://www.sec.gov/Archives/edgar/data/1639920/000163992022000008/spot-20220331x6xk.htm" TargetMode="External"/><Relationship Id="rId2" Type="http://schemas.openxmlformats.org/officeDocument/2006/relationships/hyperlink" Target="https://www.sec.gov/Archives/edgar/data/1639920/000163992024000007/spot-20240331x6xk.htm" TargetMode="External"/><Relationship Id="rId1" Type="http://schemas.openxmlformats.org/officeDocument/2006/relationships/hyperlink" Target="https://www.sec.gov/Archives/edgar/data/1639920/000163992024000009/spot-20240630x6xk.htm" TargetMode="External"/><Relationship Id="rId6" Type="http://schemas.openxmlformats.org/officeDocument/2006/relationships/hyperlink" Target="https://www.sec.gov/Archives/edgar/data/1639920/000163992022000011/spot-20220630x6xk.htm" TargetMode="External"/><Relationship Id="rId11" Type="http://schemas.openxmlformats.org/officeDocument/2006/relationships/drawing" Target="../drawings/drawing2.xml"/><Relationship Id="rId5" Type="http://schemas.openxmlformats.org/officeDocument/2006/relationships/hyperlink" Target="https://www.sec.gov/Archives/edgar/data/1639920/000163992023000013/spot-20230930x6xk.ht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sec.gov/ix?doc=/Archives/edgar/data/0001639920/000163992024000004/ck0001639920-20231231.htm" TargetMode="External"/><Relationship Id="rId9" Type="http://schemas.openxmlformats.org/officeDocument/2006/relationships/hyperlink" Target="https://www.sec.gov/Archives/edgar/data/1639920/000163992024000013/spot-20240930x6xk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8B0A2-1082-4847-9887-54638A561483}">
  <dimension ref="A2:Q40"/>
  <sheetViews>
    <sheetView workbookViewId="0">
      <selection activeCell="N26" sqref="N26"/>
    </sheetView>
  </sheetViews>
  <sheetFormatPr defaultRowHeight="12.75" x14ac:dyDescent="0.2"/>
  <cols>
    <col min="1" max="16384" width="9.140625" style="1"/>
  </cols>
  <sheetData>
    <row r="2" spans="1:17" x14ac:dyDescent="0.2">
      <c r="B2" s="2" t="s">
        <v>0</v>
      </c>
    </row>
    <row r="3" spans="1:17" x14ac:dyDescent="0.2">
      <c r="B3" s="2" t="s">
        <v>1</v>
      </c>
    </row>
    <row r="5" spans="1:17" x14ac:dyDescent="0.2">
      <c r="B5" s="44" t="s">
        <v>2</v>
      </c>
      <c r="C5" s="45"/>
      <c r="D5" s="46"/>
      <c r="G5" s="44" t="s">
        <v>21</v>
      </c>
      <c r="H5" s="45"/>
      <c r="I5" s="45"/>
      <c r="J5" s="45"/>
      <c r="K5" s="45"/>
      <c r="L5" s="45"/>
      <c r="M5" s="45"/>
      <c r="N5" s="45"/>
      <c r="O5" s="45"/>
      <c r="P5" s="45"/>
      <c r="Q5" s="46"/>
    </row>
    <row r="6" spans="1:17" x14ac:dyDescent="0.2">
      <c r="B6" s="3" t="s">
        <v>3</v>
      </c>
      <c r="C6" s="1">
        <v>450</v>
      </c>
      <c r="D6" s="15"/>
      <c r="G6" s="13"/>
      <c r="H6" s="6"/>
      <c r="I6" s="6"/>
      <c r="J6" s="6"/>
      <c r="K6" s="6"/>
      <c r="L6" s="6"/>
      <c r="M6" s="6"/>
      <c r="N6" s="6"/>
      <c r="O6" s="6"/>
      <c r="P6" s="6"/>
      <c r="Q6" s="7"/>
    </row>
    <row r="7" spans="1:17" x14ac:dyDescent="0.2">
      <c r="B7" s="3" t="s">
        <v>4</v>
      </c>
      <c r="C7" s="17">
        <f>+'Financial Model'!Q19</f>
        <v>201.575568</v>
      </c>
      <c r="D7" s="15" t="str">
        <f>$C$30</f>
        <v>Q324</v>
      </c>
      <c r="G7" s="22">
        <v>45597</v>
      </c>
      <c r="H7" s="6" t="s">
        <v>137</v>
      </c>
      <c r="I7" s="6"/>
      <c r="J7" s="6"/>
      <c r="K7" s="6"/>
      <c r="L7" s="6"/>
      <c r="M7" s="6"/>
      <c r="N7" s="6"/>
      <c r="O7" s="6"/>
      <c r="P7" s="6"/>
      <c r="Q7" s="7"/>
    </row>
    <row r="8" spans="1:17" x14ac:dyDescent="0.2">
      <c r="B8" s="3" t="s">
        <v>5</v>
      </c>
      <c r="C8" s="17">
        <f>C6*C7</f>
        <v>90709.005600000004</v>
      </c>
      <c r="D8" s="15"/>
      <c r="G8" s="13"/>
      <c r="H8" s="43" t="s">
        <v>138</v>
      </c>
      <c r="I8" s="6"/>
      <c r="J8" s="6"/>
      <c r="K8" s="6"/>
      <c r="L8" s="6"/>
      <c r="M8" s="6"/>
      <c r="N8" s="6"/>
      <c r="O8" s="6"/>
      <c r="P8" s="6"/>
      <c r="Q8" s="7"/>
    </row>
    <row r="9" spans="1:17" x14ac:dyDescent="0.2">
      <c r="B9" s="3" t="s">
        <v>6</v>
      </c>
      <c r="C9" s="17">
        <f>+'Financial Model'!Q79</f>
        <v>7684</v>
      </c>
      <c r="D9" s="15" t="str">
        <f t="shared" ref="D9:D11" si="0">$C$30</f>
        <v>Q324</v>
      </c>
      <c r="G9" s="13"/>
      <c r="H9" s="6"/>
      <c r="I9" s="6"/>
      <c r="J9" s="6"/>
      <c r="K9" s="6"/>
      <c r="L9" s="6"/>
      <c r="M9" s="6"/>
      <c r="N9" s="6"/>
      <c r="O9" s="6"/>
      <c r="P9" s="6"/>
      <c r="Q9" s="7"/>
    </row>
    <row r="10" spans="1:17" x14ac:dyDescent="0.2">
      <c r="B10" s="3" t="s">
        <v>7</v>
      </c>
      <c r="C10" s="17">
        <f>+'Financial Model'!Q80</f>
        <v>1362</v>
      </c>
      <c r="D10" s="15" t="str">
        <f t="shared" si="0"/>
        <v>Q324</v>
      </c>
      <c r="G10" s="22">
        <v>45566</v>
      </c>
      <c r="H10" s="6" t="s">
        <v>22</v>
      </c>
      <c r="I10" s="6"/>
      <c r="J10" s="6"/>
      <c r="K10" s="6"/>
      <c r="L10" s="6"/>
      <c r="M10" s="6"/>
      <c r="N10" s="6"/>
      <c r="O10" s="6"/>
      <c r="P10" s="6"/>
      <c r="Q10" s="7"/>
    </row>
    <row r="11" spans="1:17" x14ac:dyDescent="0.2">
      <c r="B11" s="3" t="s">
        <v>8</v>
      </c>
      <c r="C11" s="17">
        <f>C9-C10</f>
        <v>6322</v>
      </c>
      <c r="D11" s="15" t="str">
        <f t="shared" si="0"/>
        <v>Q324</v>
      </c>
      <c r="G11" s="13"/>
      <c r="H11" s="6"/>
      <c r="I11" s="6"/>
      <c r="J11" s="6"/>
      <c r="K11" s="6"/>
      <c r="L11" s="6"/>
      <c r="M11" s="6"/>
      <c r="N11" s="6"/>
      <c r="O11" s="6"/>
      <c r="P11" s="6"/>
      <c r="Q11" s="7"/>
    </row>
    <row r="12" spans="1:17" x14ac:dyDescent="0.2">
      <c r="B12" s="4" t="s">
        <v>9</v>
      </c>
      <c r="C12" s="18">
        <f>C8-C11</f>
        <v>84387.005600000004</v>
      </c>
      <c r="D12" s="16"/>
      <c r="G12" s="13"/>
      <c r="H12" s="6"/>
      <c r="I12" s="6"/>
      <c r="J12" s="6"/>
      <c r="K12" s="6"/>
      <c r="L12" s="6"/>
      <c r="M12" s="6"/>
      <c r="N12" s="6"/>
      <c r="O12" s="6"/>
      <c r="P12" s="6"/>
      <c r="Q12" s="7"/>
    </row>
    <row r="13" spans="1:17" x14ac:dyDescent="0.2">
      <c r="G13" s="13"/>
      <c r="H13" s="6"/>
      <c r="I13" s="6"/>
      <c r="J13" s="6"/>
      <c r="K13" s="6"/>
      <c r="L13" s="6"/>
      <c r="M13" s="6"/>
      <c r="N13" s="6"/>
      <c r="O13" s="6"/>
      <c r="P13" s="6"/>
      <c r="Q13" s="7"/>
    </row>
    <row r="14" spans="1:17" x14ac:dyDescent="0.2">
      <c r="G14" s="13"/>
      <c r="H14" s="6"/>
      <c r="I14" s="6"/>
      <c r="J14" s="6"/>
      <c r="K14" s="6"/>
      <c r="L14" s="6"/>
      <c r="M14" s="6"/>
      <c r="N14" s="6"/>
      <c r="O14" s="6"/>
      <c r="P14" s="6"/>
      <c r="Q14" s="7"/>
    </row>
    <row r="15" spans="1:17" x14ac:dyDescent="0.2">
      <c r="B15" s="44" t="s">
        <v>10</v>
      </c>
      <c r="C15" s="45"/>
      <c r="D15" s="46"/>
      <c r="G15" s="13"/>
      <c r="H15" s="6"/>
      <c r="I15" s="6"/>
      <c r="J15" s="6"/>
      <c r="K15" s="6"/>
      <c r="L15" s="6"/>
      <c r="M15" s="6"/>
      <c r="N15" s="6"/>
      <c r="O15" s="6"/>
      <c r="P15" s="6"/>
      <c r="Q15" s="7"/>
    </row>
    <row r="16" spans="1:17" x14ac:dyDescent="0.2">
      <c r="A16" s="1" t="s">
        <v>125</v>
      </c>
      <c r="B16" s="5" t="s">
        <v>11</v>
      </c>
      <c r="C16" s="49" t="s">
        <v>124</v>
      </c>
      <c r="D16" s="50"/>
      <c r="G16" s="13"/>
      <c r="H16" s="6"/>
      <c r="I16" s="6"/>
      <c r="J16" s="6"/>
      <c r="K16" s="6"/>
      <c r="L16" s="6"/>
      <c r="M16" s="6"/>
      <c r="N16" s="6"/>
      <c r="O16" s="6"/>
      <c r="P16" s="6"/>
      <c r="Q16" s="7"/>
    </row>
    <row r="17" spans="1:17" x14ac:dyDescent="0.2">
      <c r="B17" s="5" t="s">
        <v>12</v>
      </c>
      <c r="C17" s="49" t="s">
        <v>129</v>
      </c>
      <c r="D17" s="50"/>
      <c r="G17" s="13"/>
      <c r="H17" s="6"/>
      <c r="I17" s="6"/>
      <c r="J17" s="6"/>
      <c r="K17" s="6"/>
      <c r="L17" s="6"/>
      <c r="M17" s="6"/>
      <c r="N17" s="6"/>
      <c r="O17" s="6"/>
      <c r="P17" s="6"/>
      <c r="Q17" s="7"/>
    </row>
    <row r="18" spans="1:17" x14ac:dyDescent="0.2">
      <c r="B18" s="5" t="s">
        <v>13</v>
      </c>
      <c r="C18" s="49" t="s">
        <v>130</v>
      </c>
      <c r="D18" s="50"/>
      <c r="G18" s="13"/>
      <c r="H18" s="6"/>
      <c r="I18" s="6"/>
      <c r="J18" s="6"/>
      <c r="K18" s="6"/>
      <c r="L18" s="6"/>
      <c r="M18" s="6"/>
      <c r="N18" s="6"/>
      <c r="O18" s="6"/>
      <c r="P18" s="6"/>
      <c r="Q18" s="7"/>
    </row>
    <row r="19" spans="1:17" x14ac:dyDescent="0.2">
      <c r="A19" s="1" t="s">
        <v>128</v>
      </c>
      <c r="B19" s="8" t="s">
        <v>127</v>
      </c>
      <c r="C19" s="51" t="s">
        <v>126</v>
      </c>
      <c r="D19" s="52"/>
      <c r="G19" s="13"/>
      <c r="H19" s="6"/>
      <c r="I19" s="6"/>
      <c r="J19" s="6"/>
      <c r="K19" s="6"/>
      <c r="L19" s="6"/>
      <c r="M19" s="6"/>
      <c r="N19" s="6"/>
      <c r="O19" s="6"/>
      <c r="P19" s="6"/>
      <c r="Q19" s="7"/>
    </row>
    <row r="20" spans="1:17" x14ac:dyDescent="0.2">
      <c r="G20" s="13"/>
      <c r="H20" s="6"/>
      <c r="I20" s="6"/>
      <c r="J20" s="6"/>
      <c r="K20" s="6"/>
      <c r="L20" s="6"/>
      <c r="M20" s="6"/>
      <c r="N20" s="6"/>
      <c r="O20" s="6"/>
      <c r="P20" s="6"/>
      <c r="Q20" s="7"/>
    </row>
    <row r="21" spans="1:17" x14ac:dyDescent="0.2">
      <c r="G21" s="13"/>
      <c r="H21" s="6"/>
      <c r="I21" s="6"/>
      <c r="J21" s="6"/>
      <c r="K21" s="6"/>
      <c r="L21" s="6"/>
      <c r="M21" s="6"/>
      <c r="N21" s="6"/>
      <c r="O21" s="6"/>
      <c r="P21" s="6"/>
      <c r="Q21" s="7"/>
    </row>
    <row r="22" spans="1:17" x14ac:dyDescent="0.2">
      <c r="B22" s="44" t="s">
        <v>14</v>
      </c>
      <c r="C22" s="45"/>
      <c r="D22" s="46"/>
      <c r="G22" s="13"/>
      <c r="H22" s="6"/>
      <c r="I22" s="6"/>
      <c r="J22" s="6"/>
      <c r="K22" s="6"/>
      <c r="L22" s="6"/>
      <c r="M22" s="6"/>
      <c r="N22" s="6"/>
      <c r="O22" s="6"/>
      <c r="P22" s="6"/>
      <c r="Q22" s="7"/>
    </row>
    <row r="23" spans="1:17" x14ac:dyDescent="0.2">
      <c r="B23" s="13" t="s">
        <v>15</v>
      </c>
      <c r="C23" s="53" t="s">
        <v>23</v>
      </c>
      <c r="D23" s="50"/>
      <c r="G23" s="13"/>
      <c r="H23" s="6"/>
      <c r="I23" s="6"/>
      <c r="J23" s="6"/>
      <c r="K23" s="6"/>
      <c r="L23" s="6"/>
      <c r="M23" s="6"/>
      <c r="N23" s="6"/>
      <c r="O23" s="6"/>
      <c r="P23" s="6"/>
      <c r="Q23" s="7"/>
    </row>
    <row r="24" spans="1:17" x14ac:dyDescent="0.2">
      <c r="B24" s="13" t="s">
        <v>16</v>
      </c>
      <c r="C24" s="53">
        <v>2006</v>
      </c>
      <c r="D24" s="50"/>
      <c r="G24" s="13"/>
      <c r="H24" s="6"/>
      <c r="I24" s="6"/>
      <c r="J24" s="6"/>
      <c r="K24" s="6"/>
      <c r="L24" s="6"/>
      <c r="M24" s="6"/>
      <c r="N24" s="6"/>
      <c r="O24" s="6"/>
      <c r="P24" s="6"/>
      <c r="Q24" s="7"/>
    </row>
    <row r="25" spans="1:17" x14ac:dyDescent="0.2">
      <c r="B25" s="13" t="s">
        <v>17</v>
      </c>
      <c r="C25" s="53">
        <v>2018</v>
      </c>
      <c r="D25" s="50"/>
      <c r="G25" s="13"/>
      <c r="H25" s="6"/>
      <c r="I25" s="6"/>
      <c r="J25" s="6"/>
      <c r="K25" s="6"/>
      <c r="L25" s="6"/>
      <c r="M25" s="6"/>
      <c r="N25" s="6"/>
      <c r="O25" s="6"/>
      <c r="P25" s="6"/>
      <c r="Q25" s="7"/>
    </row>
    <row r="26" spans="1:17" x14ac:dyDescent="0.2">
      <c r="B26" s="13"/>
      <c r="C26" s="53"/>
      <c r="D26" s="50"/>
      <c r="G26" s="13"/>
      <c r="H26" s="6"/>
      <c r="I26" s="6"/>
      <c r="J26" s="6"/>
      <c r="K26" s="6"/>
      <c r="L26" s="6"/>
      <c r="M26" s="6"/>
      <c r="N26" s="6"/>
      <c r="O26" s="6"/>
      <c r="P26" s="6"/>
      <c r="Q26" s="7"/>
    </row>
    <row r="27" spans="1:17" x14ac:dyDescent="0.2">
      <c r="B27" s="13" t="s">
        <v>52</v>
      </c>
      <c r="C27" s="53">
        <f>+'Financial Model'!Q30</f>
        <v>640</v>
      </c>
      <c r="D27" s="50"/>
      <c r="G27" s="13"/>
      <c r="H27" s="6"/>
      <c r="I27" s="6"/>
      <c r="J27" s="6"/>
      <c r="K27" s="6"/>
      <c r="L27" s="6"/>
      <c r="M27" s="6"/>
      <c r="N27" s="6"/>
      <c r="O27" s="6"/>
      <c r="P27" s="6"/>
      <c r="Q27" s="7"/>
    </row>
    <row r="28" spans="1:17" x14ac:dyDescent="0.2">
      <c r="B28" s="13" t="s">
        <v>18</v>
      </c>
      <c r="C28" s="54">
        <f>+'Financial Model'!AA42</f>
        <v>9123</v>
      </c>
      <c r="D28" s="50"/>
      <c r="G28" s="13"/>
      <c r="H28" s="6"/>
      <c r="I28" s="6"/>
      <c r="J28" s="6"/>
      <c r="K28" s="6"/>
      <c r="L28" s="6"/>
      <c r="M28" s="6"/>
      <c r="N28" s="6"/>
      <c r="O28" s="6"/>
      <c r="P28" s="6"/>
      <c r="Q28" s="7"/>
    </row>
    <row r="29" spans="1:17" x14ac:dyDescent="0.2">
      <c r="B29" s="13"/>
      <c r="C29" s="53"/>
      <c r="D29" s="50"/>
      <c r="G29" s="13"/>
      <c r="H29" s="6"/>
      <c r="I29" s="6"/>
      <c r="J29" s="6"/>
      <c r="K29" s="6"/>
      <c r="L29" s="6"/>
      <c r="M29" s="6"/>
      <c r="N29" s="6"/>
      <c r="O29" s="6"/>
      <c r="P29" s="6"/>
      <c r="Q29" s="7"/>
    </row>
    <row r="30" spans="1:17" x14ac:dyDescent="0.2">
      <c r="B30" s="13" t="s">
        <v>19</v>
      </c>
      <c r="C30" s="11" t="s">
        <v>30</v>
      </c>
      <c r="D30" s="31">
        <f>+'Financial Model'!Q3</f>
        <v>45608</v>
      </c>
      <c r="G30" s="13"/>
      <c r="H30" s="6"/>
      <c r="I30" s="6"/>
      <c r="J30" s="6"/>
      <c r="K30" s="6"/>
      <c r="L30" s="6"/>
      <c r="M30" s="6"/>
      <c r="N30" s="6"/>
      <c r="O30" s="6"/>
      <c r="P30" s="6"/>
      <c r="Q30" s="7"/>
    </row>
    <row r="31" spans="1:17" x14ac:dyDescent="0.2">
      <c r="B31" s="14" t="s">
        <v>20</v>
      </c>
      <c r="C31" s="51"/>
      <c r="D31" s="52"/>
      <c r="G31" s="14"/>
      <c r="H31" s="9"/>
      <c r="I31" s="9"/>
      <c r="J31" s="9"/>
      <c r="K31" s="9"/>
      <c r="L31" s="9"/>
      <c r="M31" s="9"/>
      <c r="N31" s="9"/>
      <c r="O31" s="9"/>
      <c r="P31" s="9"/>
      <c r="Q31" s="10"/>
    </row>
    <row r="34" spans="2:4" x14ac:dyDescent="0.2">
      <c r="B34" s="44" t="s">
        <v>86</v>
      </c>
      <c r="C34" s="45"/>
      <c r="D34" s="46"/>
    </row>
    <row r="35" spans="2:4" x14ac:dyDescent="0.2">
      <c r="B35" s="13" t="s">
        <v>77</v>
      </c>
      <c r="C35" s="47">
        <f>C6/('Financial Model'!Q19*[1]Currencies!$C$4)</f>
        <v>2.048085692097604</v>
      </c>
      <c r="D35" s="48"/>
    </row>
    <row r="36" spans="2:4" x14ac:dyDescent="0.2">
      <c r="B36" s="13" t="s">
        <v>78</v>
      </c>
      <c r="C36" s="47">
        <f>C8/(SUM('Financial Model'!N8:Q8)*[1]Currencies!$C$4)</f>
        <v>19.19263634517079</v>
      </c>
      <c r="D36" s="48"/>
    </row>
    <row r="37" spans="2:4" x14ac:dyDescent="0.2">
      <c r="B37" s="13" t="s">
        <v>79</v>
      </c>
      <c r="C37" s="11"/>
      <c r="D37" s="12"/>
    </row>
    <row r="38" spans="2:4" x14ac:dyDescent="0.2">
      <c r="B38" s="13" t="s">
        <v>80</v>
      </c>
      <c r="C38" s="47">
        <f>C6/(SUM('Financial Model'!N18:Q18)*[1]Currencies!$C$4)</f>
        <v>118.16107002434873</v>
      </c>
      <c r="D38" s="48"/>
    </row>
    <row r="39" spans="2:4" x14ac:dyDescent="0.2">
      <c r="B39" s="13" t="s">
        <v>81</v>
      </c>
      <c r="C39" s="11"/>
      <c r="D39" s="12"/>
    </row>
    <row r="40" spans="2:4" x14ac:dyDescent="0.2">
      <c r="B40" s="13" t="s">
        <v>112</v>
      </c>
      <c r="C40" s="47">
        <f>C6/('Financial Model'!Q100*[1]Currencies!$C$4)</f>
        <v>117.04538845662525</v>
      </c>
      <c r="D40" s="48"/>
    </row>
  </sheetData>
  <mergeCells count="21">
    <mergeCell ref="C17:D17"/>
    <mergeCell ref="C31:D31"/>
    <mergeCell ref="G5:Q5"/>
    <mergeCell ref="C25:D25"/>
    <mergeCell ref="C26:D26"/>
    <mergeCell ref="C27:D27"/>
    <mergeCell ref="C28:D28"/>
    <mergeCell ref="C29:D29"/>
    <mergeCell ref="B5:D5"/>
    <mergeCell ref="B15:D15"/>
    <mergeCell ref="B22:D22"/>
    <mergeCell ref="C16:D16"/>
    <mergeCell ref="C23:D23"/>
    <mergeCell ref="C24:D24"/>
    <mergeCell ref="C19:D19"/>
    <mergeCell ref="C18:D18"/>
    <mergeCell ref="B34:D34"/>
    <mergeCell ref="C35:D35"/>
    <mergeCell ref="C40:D40"/>
    <mergeCell ref="C36:D36"/>
    <mergeCell ref="C38:D3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2AD3C-DB9E-4895-A895-31060AA5F6CC}">
  <dimension ref="B1:AH101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R3" sqref="R3"/>
    </sheetView>
  </sheetViews>
  <sheetFormatPr defaultRowHeight="12.75" x14ac:dyDescent="0.2"/>
  <cols>
    <col min="1" max="1" width="4.28515625" style="1" customWidth="1"/>
    <col min="2" max="2" width="24" style="1" bestFit="1" customWidth="1"/>
    <col min="3" max="16384" width="9.140625" style="1"/>
  </cols>
  <sheetData>
    <row r="1" spans="2:34" s="21" customFormat="1" x14ac:dyDescent="0.2">
      <c r="B1" s="33" t="s">
        <v>114</v>
      </c>
      <c r="C1" s="21" t="s">
        <v>105</v>
      </c>
      <c r="D1" s="21" t="s">
        <v>106</v>
      </c>
      <c r="E1" s="28" t="s">
        <v>107</v>
      </c>
      <c r="F1" s="21" t="s">
        <v>104</v>
      </c>
      <c r="G1" s="28" t="s">
        <v>103</v>
      </c>
      <c r="H1" s="28" t="s">
        <v>102</v>
      </c>
      <c r="I1" s="21" t="s">
        <v>101</v>
      </c>
      <c r="J1" s="21" t="s">
        <v>100</v>
      </c>
      <c r="K1" s="21" t="s">
        <v>29</v>
      </c>
      <c r="L1" s="21" t="s">
        <v>28</v>
      </c>
      <c r="M1" s="28" t="s">
        <v>27</v>
      </c>
      <c r="N1" s="28" t="s">
        <v>26</v>
      </c>
      <c r="O1" s="28" t="s">
        <v>25</v>
      </c>
      <c r="P1" s="28" t="s">
        <v>24</v>
      </c>
      <c r="Q1" s="28" t="s">
        <v>30</v>
      </c>
      <c r="R1" s="21" t="s">
        <v>31</v>
      </c>
      <c r="V1" s="21" t="s">
        <v>87</v>
      </c>
      <c r="W1" s="21" t="s">
        <v>88</v>
      </c>
      <c r="X1" s="21" t="s">
        <v>89</v>
      </c>
      <c r="Y1" s="21" t="s">
        <v>90</v>
      </c>
      <c r="Z1" s="21" t="s">
        <v>91</v>
      </c>
      <c r="AA1" s="28" t="s">
        <v>92</v>
      </c>
      <c r="AB1" s="21" t="s">
        <v>93</v>
      </c>
      <c r="AC1" s="21" t="s">
        <v>95</v>
      </c>
      <c r="AD1" s="21" t="s">
        <v>94</v>
      </c>
      <c r="AE1" s="21" t="s">
        <v>96</v>
      </c>
      <c r="AF1" s="21" t="s">
        <v>97</v>
      </c>
      <c r="AG1" s="21" t="s">
        <v>98</v>
      </c>
      <c r="AH1" s="21" t="s">
        <v>99</v>
      </c>
    </row>
    <row r="2" spans="2:34" s="20" customFormat="1" x14ac:dyDescent="0.2">
      <c r="B2" s="19"/>
      <c r="C2" s="23">
        <v>44561</v>
      </c>
      <c r="D2" s="23">
        <v>44377</v>
      </c>
      <c r="E2" s="23">
        <v>44469</v>
      </c>
      <c r="F2" s="23">
        <f>+Y2</f>
        <v>44561</v>
      </c>
      <c r="G2" s="23">
        <v>44926</v>
      </c>
      <c r="H2" s="23">
        <v>44742</v>
      </c>
      <c r="I2" s="23">
        <v>44834</v>
      </c>
      <c r="J2" s="23">
        <f>+Z2</f>
        <v>44926</v>
      </c>
      <c r="K2" s="23">
        <v>45016</v>
      </c>
      <c r="L2" s="23">
        <v>45107</v>
      </c>
      <c r="M2" s="23">
        <v>45199</v>
      </c>
      <c r="N2" s="23">
        <v>45291</v>
      </c>
      <c r="O2" s="23">
        <v>45382</v>
      </c>
      <c r="P2" s="23">
        <v>45473</v>
      </c>
      <c r="Q2" s="23">
        <v>45565</v>
      </c>
      <c r="Y2" s="23">
        <v>44561</v>
      </c>
      <c r="Z2" s="23">
        <v>44926</v>
      </c>
      <c r="AA2" s="23">
        <v>45291</v>
      </c>
    </row>
    <row r="3" spans="2:34" s="20" customFormat="1" x14ac:dyDescent="0.2">
      <c r="B3" s="19"/>
      <c r="G3" s="32">
        <v>45402</v>
      </c>
      <c r="H3" s="32">
        <v>45500</v>
      </c>
      <c r="M3" s="32">
        <v>45590</v>
      </c>
      <c r="N3" s="32">
        <v>45330</v>
      </c>
      <c r="O3" s="32">
        <v>45406</v>
      </c>
      <c r="P3" s="24">
        <v>45474</v>
      </c>
      <c r="Q3" s="41">
        <v>45608</v>
      </c>
      <c r="AA3" s="32">
        <v>45330</v>
      </c>
    </row>
    <row r="4" spans="2:34" s="38" customFormat="1" x14ac:dyDescent="0.2">
      <c r="B4" s="37" t="s">
        <v>122</v>
      </c>
      <c r="C4" s="38">
        <v>1931</v>
      </c>
      <c r="D4" s="38">
        <v>2056</v>
      </c>
      <c r="E4" s="38">
        <v>2178</v>
      </c>
      <c r="F4" s="38">
        <f>+Y4-SUM(C4:E4)</f>
        <v>2295</v>
      </c>
      <c r="G4" s="38">
        <v>2379</v>
      </c>
      <c r="H4" s="38">
        <v>2504</v>
      </c>
      <c r="I4" s="38">
        <v>2651</v>
      </c>
      <c r="J4" s="38">
        <f>+Z4-SUM(G4:I4)</f>
        <v>2717</v>
      </c>
      <c r="K4" s="38">
        <v>2713</v>
      </c>
      <c r="L4" s="38">
        <v>2773</v>
      </c>
      <c r="M4" s="38">
        <v>2910</v>
      </c>
      <c r="N4" s="38">
        <f>+AA4-SUM(K4:M4)</f>
        <v>3170</v>
      </c>
      <c r="O4" s="38">
        <v>3247</v>
      </c>
      <c r="P4" s="38">
        <v>3351</v>
      </c>
      <c r="Q4" s="38">
        <v>3516</v>
      </c>
      <c r="Y4" s="38">
        <v>8460</v>
      </c>
      <c r="Z4" s="38">
        <v>10251</v>
      </c>
      <c r="AA4" s="38">
        <v>11566</v>
      </c>
    </row>
    <row r="5" spans="2:34" s="38" customFormat="1" x14ac:dyDescent="0.2">
      <c r="B5" s="37" t="s">
        <v>123</v>
      </c>
      <c r="C5" s="38">
        <v>216</v>
      </c>
      <c r="D5" s="38">
        <v>275</v>
      </c>
      <c r="E5" s="38">
        <v>323</v>
      </c>
      <c r="F5" s="38">
        <f>+Y5-SUM(C5:E5)</f>
        <v>394</v>
      </c>
      <c r="G5" s="38">
        <v>282</v>
      </c>
      <c r="H5" s="38">
        <v>360</v>
      </c>
      <c r="I5" s="38">
        <v>385</v>
      </c>
      <c r="J5" s="38">
        <f>+Z5-SUM(G5:I5)</f>
        <v>449</v>
      </c>
      <c r="K5" s="38">
        <v>329</v>
      </c>
      <c r="L5" s="38">
        <v>404</v>
      </c>
      <c r="M5" s="38">
        <v>447</v>
      </c>
      <c r="N5" s="38">
        <f>+AA5-SUM(K5:M5)</f>
        <v>501</v>
      </c>
      <c r="O5" s="38">
        <v>389</v>
      </c>
      <c r="P5" s="38">
        <v>456</v>
      </c>
      <c r="Q5" s="38">
        <v>472</v>
      </c>
      <c r="Y5" s="38">
        <v>1208</v>
      </c>
      <c r="Z5" s="38">
        <v>1476</v>
      </c>
      <c r="AA5" s="38">
        <v>1681</v>
      </c>
    </row>
    <row r="6" spans="2:34" s="26" customFormat="1" x14ac:dyDescent="0.2">
      <c r="B6" s="26" t="s">
        <v>32</v>
      </c>
      <c r="C6" s="26">
        <v>2147</v>
      </c>
      <c r="D6" s="26">
        <v>2331</v>
      </c>
      <c r="E6" s="26">
        <v>2501</v>
      </c>
      <c r="F6" s="26">
        <f>+Y6-SUM(C6:E6)</f>
        <v>2689</v>
      </c>
      <c r="G6" s="26">
        <v>2661</v>
      </c>
      <c r="H6" s="26">
        <v>2864</v>
      </c>
      <c r="I6" s="26">
        <v>3036</v>
      </c>
      <c r="J6" s="26">
        <f>+J4+J5</f>
        <v>3166</v>
      </c>
      <c r="K6" s="26">
        <v>3042</v>
      </c>
      <c r="L6" s="26">
        <v>3177</v>
      </c>
      <c r="M6" s="26">
        <v>3357</v>
      </c>
      <c r="N6" s="26">
        <f>AA6-SUM(K6:M6)</f>
        <v>3671</v>
      </c>
      <c r="O6" s="26">
        <v>3636</v>
      </c>
      <c r="P6" s="26">
        <v>3807</v>
      </c>
      <c r="Q6" s="26">
        <v>3988</v>
      </c>
      <c r="Y6" s="26">
        <v>9668</v>
      </c>
      <c r="Z6" s="26">
        <v>11727</v>
      </c>
      <c r="AA6" s="26">
        <v>13247</v>
      </c>
    </row>
    <row r="7" spans="2:34" s="17" customFormat="1" x14ac:dyDescent="0.2">
      <c r="B7" s="17" t="s">
        <v>33</v>
      </c>
      <c r="C7" s="17">
        <v>1599</v>
      </c>
      <c r="D7" s="17">
        <v>1668</v>
      </c>
      <c r="E7" s="17">
        <v>1833</v>
      </c>
      <c r="F7" s="17">
        <f>+Y7-SUM(C7:E7)</f>
        <v>1977</v>
      </c>
      <c r="G7" s="17">
        <v>1990</v>
      </c>
      <c r="H7" s="17">
        <v>2160</v>
      </c>
      <c r="I7" s="17">
        <v>2286</v>
      </c>
      <c r="J7" s="17">
        <f>+Z7-SUM(G7:I7)</f>
        <v>2365</v>
      </c>
      <c r="K7" s="17">
        <v>2276</v>
      </c>
      <c r="L7" s="17">
        <v>2411</v>
      </c>
      <c r="M7" s="17">
        <v>2472</v>
      </c>
      <c r="N7" s="17">
        <f>AA7-SUM(K7:M7)</f>
        <v>2691</v>
      </c>
      <c r="O7" s="17">
        <v>2632</v>
      </c>
      <c r="P7" s="17">
        <v>2695</v>
      </c>
      <c r="Q7" s="17">
        <v>2748</v>
      </c>
      <c r="Y7" s="17">
        <v>7077</v>
      </c>
      <c r="Z7" s="17">
        <v>8801</v>
      </c>
      <c r="AA7" s="17">
        <v>9850</v>
      </c>
    </row>
    <row r="8" spans="2:34" s="26" customFormat="1" x14ac:dyDescent="0.2">
      <c r="B8" s="26" t="s">
        <v>34</v>
      </c>
      <c r="C8" s="26">
        <f t="shared" ref="C8:Q8" si="0">C6-C7</f>
        <v>548</v>
      </c>
      <c r="D8" s="26">
        <f t="shared" si="0"/>
        <v>663</v>
      </c>
      <c r="E8" s="26">
        <f t="shared" si="0"/>
        <v>668</v>
      </c>
      <c r="F8" s="26">
        <f t="shared" si="0"/>
        <v>712</v>
      </c>
      <c r="G8" s="26">
        <f t="shared" si="0"/>
        <v>671</v>
      </c>
      <c r="H8" s="26">
        <f t="shared" si="0"/>
        <v>704</v>
      </c>
      <c r="I8" s="26">
        <f t="shared" si="0"/>
        <v>750</v>
      </c>
      <c r="J8" s="26">
        <f t="shared" si="0"/>
        <v>801</v>
      </c>
      <c r="K8" s="26">
        <f t="shared" si="0"/>
        <v>766</v>
      </c>
      <c r="L8" s="26">
        <f t="shared" si="0"/>
        <v>766</v>
      </c>
      <c r="M8" s="26">
        <f t="shared" si="0"/>
        <v>885</v>
      </c>
      <c r="N8" s="26">
        <f t="shared" si="0"/>
        <v>980</v>
      </c>
      <c r="O8" s="26">
        <f t="shared" si="0"/>
        <v>1004</v>
      </c>
      <c r="P8" s="26">
        <f t="shared" si="0"/>
        <v>1112</v>
      </c>
      <c r="Q8" s="26">
        <f t="shared" si="0"/>
        <v>1240</v>
      </c>
      <c r="Y8" s="26">
        <f>Y6-Y7</f>
        <v>2591</v>
      </c>
      <c r="Z8" s="26">
        <f>Z6-Z7</f>
        <v>2926</v>
      </c>
      <c r="AA8" s="26">
        <f>AA6-AA7</f>
        <v>3397</v>
      </c>
    </row>
    <row r="9" spans="2:34" s="17" customFormat="1" x14ac:dyDescent="0.2">
      <c r="B9" s="17" t="s">
        <v>35</v>
      </c>
      <c r="C9" s="17">
        <v>196</v>
      </c>
      <c r="D9" s="17">
        <v>255</v>
      </c>
      <c r="E9" s="17">
        <v>208</v>
      </c>
      <c r="F9" s="17">
        <f t="shared" ref="F9:F11" si="1">+Y9-SUM(C9:E9)</f>
        <v>253</v>
      </c>
      <c r="G9" s="17">
        <v>250</v>
      </c>
      <c r="H9" s="17">
        <v>336</v>
      </c>
      <c r="I9" s="17">
        <v>386</v>
      </c>
      <c r="J9" s="17">
        <f t="shared" ref="J9:J11" si="2">+Z9-SUM(G9:I9)</f>
        <v>415</v>
      </c>
      <c r="K9" s="17">
        <v>435</v>
      </c>
      <c r="L9" s="17">
        <v>453</v>
      </c>
      <c r="M9" s="17">
        <v>369</v>
      </c>
      <c r="N9" s="17">
        <f t="shared" ref="N9:N11" si="3">AA9-SUM(K9:M9)</f>
        <v>468</v>
      </c>
      <c r="O9" s="17">
        <v>389</v>
      </c>
      <c r="P9" s="17">
        <v>379</v>
      </c>
      <c r="Q9" s="17">
        <v>342</v>
      </c>
      <c r="Y9" s="17">
        <v>912</v>
      </c>
      <c r="Z9" s="17">
        <v>1387</v>
      </c>
      <c r="AA9" s="17">
        <v>1725</v>
      </c>
    </row>
    <row r="10" spans="2:34" s="17" customFormat="1" x14ac:dyDescent="0.2">
      <c r="B10" s="17" t="s">
        <v>36</v>
      </c>
      <c r="C10" s="17">
        <v>236</v>
      </c>
      <c r="D10" s="17">
        <v>279</v>
      </c>
      <c r="E10" s="17">
        <v>280</v>
      </c>
      <c r="F10" s="17">
        <f t="shared" si="1"/>
        <v>340</v>
      </c>
      <c r="G10" s="17">
        <v>296</v>
      </c>
      <c r="H10" s="17">
        <v>391</v>
      </c>
      <c r="I10" s="17">
        <v>432</v>
      </c>
      <c r="J10" s="17">
        <f t="shared" si="2"/>
        <v>453</v>
      </c>
      <c r="K10" s="17">
        <v>347</v>
      </c>
      <c r="L10" s="17">
        <v>399</v>
      </c>
      <c r="M10" s="17">
        <v>355</v>
      </c>
      <c r="N10" s="17">
        <f t="shared" si="3"/>
        <v>432</v>
      </c>
      <c r="O10" s="17">
        <v>324</v>
      </c>
      <c r="P10" s="17">
        <v>343</v>
      </c>
      <c r="Q10" s="17">
        <v>332</v>
      </c>
      <c r="Y10" s="17">
        <v>1135</v>
      </c>
      <c r="Z10" s="17">
        <v>1572</v>
      </c>
      <c r="AA10" s="17">
        <v>1533</v>
      </c>
    </row>
    <row r="11" spans="2:34" s="17" customFormat="1" x14ac:dyDescent="0.2">
      <c r="B11" s="17" t="s">
        <v>37</v>
      </c>
      <c r="C11" s="17">
        <v>102</v>
      </c>
      <c r="D11" s="17">
        <v>117</v>
      </c>
      <c r="E11" s="17">
        <v>105</v>
      </c>
      <c r="F11" s="17">
        <f t="shared" si="1"/>
        <v>126</v>
      </c>
      <c r="G11" s="17">
        <v>131</v>
      </c>
      <c r="H11" s="17">
        <v>171</v>
      </c>
      <c r="I11" s="17">
        <v>160</v>
      </c>
      <c r="J11" s="17">
        <f t="shared" si="2"/>
        <v>164</v>
      </c>
      <c r="K11" s="17">
        <v>140</v>
      </c>
      <c r="L11" s="17">
        <v>161</v>
      </c>
      <c r="M11" s="17">
        <v>129</v>
      </c>
      <c r="N11" s="17">
        <f t="shared" si="3"/>
        <v>155</v>
      </c>
      <c r="O11" s="17">
        <v>123</v>
      </c>
      <c r="P11" s="17">
        <v>124</v>
      </c>
      <c r="Q11" s="17">
        <v>112</v>
      </c>
      <c r="Y11" s="17">
        <v>450</v>
      </c>
      <c r="Z11" s="17">
        <v>626</v>
      </c>
      <c r="AA11" s="17">
        <v>585</v>
      </c>
    </row>
    <row r="12" spans="2:34" s="26" customFormat="1" x14ac:dyDescent="0.2">
      <c r="B12" s="26" t="s">
        <v>38</v>
      </c>
      <c r="C12" s="26">
        <f t="shared" ref="C12:J12" si="4">C8-C9-C10-C11</f>
        <v>14</v>
      </c>
      <c r="D12" s="26">
        <f t="shared" si="4"/>
        <v>12</v>
      </c>
      <c r="E12" s="26">
        <f t="shared" si="4"/>
        <v>75</v>
      </c>
      <c r="F12" s="26">
        <f t="shared" si="4"/>
        <v>-7</v>
      </c>
      <c r="G12" s="26">
        <f t="shared" si="4"/>
        <v>-6</v>
      </c>
      <c r="H12" s="26">
        <f t="shared" si="4"/>
        <v>-194</v>
      </c>
      <c r="I12" s="26">
        <f t="shared" si="4"/>
        <v>-228</v>
      </c>
      <c r="J12" s="26">
        <f t="shared" si="4"/>
        <v>-231</v>
      </c>
      <c r="K12" s="26">
        <f t="shared" ref="K12:Q12" si="5">K8-K9-K10-K11</f>
        <v>-156</v>
      </c>
      <c r="L12" s="26">
        <f t="shared" si="5"/>
        <v>-247</v>
      </c>
      <c r="M12" s="26">
        <f t="shared" si="5"/>
        <v>32</v>
      </c>
      <c r="N12" s="26">
        <f t="shared" si="5"/>
        <v>-75</v>
      </c>
      <c r="O12" s="26">
        <f t="shared" si="5"/>
        <v>168</v>
      </c>
      <c r="P12" s="26">
        <f t="shared" si="5"/>
        <v>266</v>
      </c>
      <c r="Q12" s="26">
        <f t="shared" si="5"/>
        <v>454</v>
      </c>
      <c r="Y12" s="26">
        <f>Y8-Y9-Y10-Y11</f>
        <v>94</v>
      </c>
      <c r="Z12" s="26">
        <f>Z8-Z9-Z10-Z11</f>
        <v>-659</v>
      </c>
      <c r="AA12" s="26">
        <f>AA8-AA9-AA10-AA11</f>
        <v>-446</v>
      </c>
    </row>
    <row r="13" spans="2:34" s="17" customFormat="1" x14ac:dyDescent="0.2">
      <c r="B13" s="17" t="s">
        <v>39</v>
      </c>
      <c r="C13" s="17">
        <v>104</v>
      </c>
      <c r="D13" s="17">
        <v>21</v>
      </c>
      <c r="E13" s="17">
        <v>101</v>
      </c>
      <c r="F13" s="17">
        <f t="shared" ref="F13:F16" si="6">+Y13-SUM(C13:E13)</f>
        <v>20</v>
      </c>
      <c r="G13" s="17">
        <v>175</v>
      </c>
      <c r="H13" s="17">
        <v>118</v>
      </c>
      <c r="I13" s="17">
        <v>102</v>
      </c>
      <c r="J13" s="17">
        <f t="shared" ref="J13:J14" si="7">+Z13-SUM(G13:I13)</f>
        <v>26</v>
      </c>
      <c r="K13" s="17">
        <v>27</v>
      </c>
      <c r="L13" s="17">
        <v>33</v>
      </c>
      <c r="M13" s="17">
        <v>55</v>
      </c>
      <c r="N13" s="17">
        <f t="shared" ref="N13:N14" si="8">AA13-SUM(K13:M13)</f>
        <v>46</v>
      </c>
      <c r="O13" s="17">
        <v>59</v>
      </c>
      <c r="P13" s="17">
        <v>76</v>
      </c>
      <c r="Q13" s="17">
        <v>66</v>
      </c>
      <c r="Y13" s="17">
        <v>246</v>
      </c>
      <c r="Z13" s="17">
        <v>421</v>
      </c>
      <c r="AA13" s="17">
        <v>161</v>
      </c>
    </row>
    <row r="14" spans="2:34" s="17" customFormat="1" x14ac:dyDescent="0.2">
      <c r="B14" s="17" t="s">
        <v>40</v>
      </c>
      <c r="C14" s="17">
        <v>31</v>
      </c>
      <c r="D14" s="17">
        <v>25</v>
      </c>
      <c r="E14" s="17">
        <v>14</v>
      </c>
      <c r="F14" s="17">
        <f t="shared" si="6"/>
        <v>21</v>
      </c>
      <c r="G14" s="17">
        <v>14</v>
      </c>
      <c r="H14" s="17">
        <v>14</v>
      </c>
      <c r="I14" s="17">
        <v>18</v>
      </c>
      <c r="J14" s="17">
        <f t="shared" si="7"/>
        <v>86</v>
      </c>
      <c r="K14" s="17">
        <v>77</v>
      </c>
      <c r="L14" s="17">
        <v>27</v>
      </c>
      <c r="M14" s="17">
        <v>14</v>
      </c>
      <c r="N14" s="17">
        <f t="shared" si="8"/>
        <v>102</v>
      </c>
      <c r="O14" s="17">
        <v>53</v>
      </c>
      <c r="P14" s="17">
        <v>72</v>
      </c>
      <c r="Q14" s="17">
        <v>122</v>
      </c>
      <c r="Y14" s="17">
        <v>91</v>
      </c>
      <c r="Z14" s="17">
        <v>132</v>
      </c>
      <c r="AA14" s="17">
        <v>220</v>
      </c>
    </row>
    <row r="15" spans="2:34" s="17" customFormat="1" x14ac:dyDescent="0.2">
      <c r="B15" s="17" t="s">
        <v>41</v>
      </c>
      <c r="C15" s="17">
        <f t="shared" ref="C15:J15" si="9">C12+C13-C14</f>
        <v>87</v>
      </c>
      <c r="D15" s="17">
        <f t="shared" si="9"/>
        <v>8</v>
      </c>
      <c r="E15" s="17">
        <f t="shared" si="9"/>
        <v>162</v>
      </c>
      <c r="F15" s="17">
        <f t="shared" si="9"/>
        <v>-8</v>
      </c>
      <c r="G15" s="17">
        <f t="shared" si="9"/>
        <v>155</v>
      </c>
      <c r="H15" s="17">
        <f t="shared" si="9"/>
        <v>-90</v>
      </c>
      <c r="I15" s="17">
        <f t="shared" si="9"/>
        <v>-144</v>
      </c>
      <c r="J15" s="17">
        <f t="shared" si="9"/>
        <v>-291</v>
      </c>
      <c r="K15" s="17">
        <f t="shared" ref="K15:Q15" si="10">K12+K13-K14</f>
        <v>-206</v>
      </c>
      <c r="L15" s="17">
        <f t="shared" si="10"/>
        <v>-241</v>
      </c>
      <c r="M15" s="17">
        <f t="shared" si="10"/>
        <v>73</v>
      </c>
      <c r="N15" s="17">
        <f t="shared" si="10"/>
        <v>-131</v>
      </c>
      <c r="O15" s="17">
        <f t="shared" si="10"/>
        <v>174</v>
      </c>
      <c r="P15" s="17">
        <f t="shared" si="10"/>
        <v>270</v>
      </c>
      <c r="Q15" s="17">
        <f t="shared" si="10"/>
        <v>398</v>
      </c>
      <c r="Y15" s="17">
        <f>Y12+Y13-Y14</f>
        <v>249</v>
      </c>
      <c r="Z15" s="17">
        <f>Z12+Z13-Z14</f>
        <v>-370</v>
      </c>
      <c r="AA15" s="17">
        <f>AA12+AA13-AA14</f>
        <v>-505</v>
      </c>
    </row>
    <row r="16" spans="2:34" s="17" customFormat="1" x14ac:dyDescent="0.2">
      <c r="B16" s="17" t="s">
        <v>42</v>
      </c>
      <c r="C16" s="17">
        <v>64</v>
      </c>
      <c r="D16" s="17">
        <v>28</v>
      </c>
      <c r="E16" s="17">
        <v>160</v>
      </c>
      <c r="F16" s="17">
        <f t="shared" si="6"/>
        <v>31</v>
      </c>
      <c r="G16" s="17">
        <v>24</v>
      </c>
      <c r="H16" s="17">
        <v>35</v>
      </c>
      <c r="I16" s="17">
        <v>22</v>
      </c>
      <c r="J16" s="17">
        <f>+Z16-SUM(G16:I16)</f>
        <v>-21</v>
      </c>
      <c r="K16" s="17">
        <v>19</v>
      </c>
      <c r="L16" s="17">
        <v>61</v>
      </c>
      <c r="M16" s="17">
        <v>8</v>
      </c>
      <c r="N16" s="17">
        <f>AA16-SUM(K16:M16)</f>
        <v>-61</v>
      </c>
      <c r="O16" s="17">
        <v>-23</v>
      </c>
      <c r="P16" s="17">
        <v>-4</v>
      </c>
      <c r="Q16" s="17">
        <v>98</v>
      </c>
      <c r="Y16" s="17">
        <v>283</v>
      </c>
      <c r="Z16" s="17">
        <v>60</v>
      </c>
      <c r="AA16" s="17">
        <v>27</v>
      </c>
    </row>
    <row r="17" spans="2:27" s="26" customFormat="1" x14ac:dyDescent="0.2">
      <c r="B17" s="26" t="s">
        <v>43</v>
      </c>
      <c r="C17" s="26">
        <f t="shared" ref="C17:J17" si="11">C15-C16</f>
        <v>23</v>
      </c>
      <c r="D17" s="26">
        <f t="shared" si="11"/>
        <v>-20</v>
      </c>
      <c r="E17" s="26">
        <f t="shared" si="11"/>
        <v>2</v>
      </c>
      <c r="F17" s="26">
        <f t="shared" si="11"/>
        <v>-39</v>
      </c>
      <c r="G17" s="26">
        <f t="shared" si="11"/>
        <v>131</v>
      </c>
      <c r="H17" s="26">
        <f t="shared" si="11"/>
        <v>-125</v>
      </c>
      <c r="I17" s="26">
        <f t="shared" si="11"/>
        <v>-166</v>
      </c>
      <c r="J17" s="26">
        <f t="shared" si="11"/>
        <v>-270</v>
      </c>
      <c r="K17" s="26">
        <f t="shared" ref="K17:Q17" si="12">K15-K16</f>
        <v>-225</v>
      </c>
      <c r="L17" s="26">
        <f t="shared" si="12"/>
        <v>-302</v>
      </c>
      <c r="M17" s="26">
        <f t="shared" si="12"/>
        <v>65</v>
      </c>
      <c r="N17" s="26">
        <f t="shared" si="12"/>
        <v>-70</v>
      </c>
      <c r="O17" s="26">
        <f t="shared" si="12"/>
        <v>197</v>
      </c>
      <c r="P17" s="26">
        <f t="shared" si="12"/>
        <v>274</v>
      </c>
      <c r="Q17" s="26">
        <f t="shared" si="12"/>
        <v>300</v>
      </c>
      <c r="Y17" s="26">
        <f>Y15-Y16</f>
        <v>-34</v>
      </c>
      <c r="Z17" s="26">
        <f>Z15-Z16</f>
        <v>-430</v>
      </c>
      <c r="AA17" s="26">
        <f>AA15-AA16</f>
        <v>-532</v>
      </c>
    </row>
    <row r="18" spans="2:27" s="25" customFormat="1" x14ac:dyDescent="0.2">
      <c r="B18" s="25" t="s">
        <v>44</v>
      </c>
      <c r="C18" s="25">
        <f t="shared" ref="C18:I18" si="13">C17/C19</f>
        <v>0.1206934751118536</v>
      </c>
      <c r="D18" s="25">
        <f t="shared" si="13"/>
        <v>-0.10461731337236389</v>
      </c>
      <c r="E18" s="25">
        <f t="shared" si="13"/>
        <v>1.0444656551048131E-2</v>
      </c>
      <c r="F18" s="25">
        <f t="shared" si="13"/>
        <v>-0.20386997806364265</v>
      </c>
      <c r="G18" s="25">
        <f t="shared" si="13"/>
        <v>0.6806042572928902</v>
      </c>
      <c r="H18" s="25">
        <f t="shared" si="13"/>
        <v>-0.64784283469654669</v>
      </c>
      <c r="I18" s="25">
        <f t="shared" si="13"/>
        <v>-0.85975912636125373</v>
      </c>
      <c r="J18" s="25">
        <f t="shared" ref="J18:Q18" si="14">J17/J19</f>
        <v>-1.3994360438602329</v>
      </c>
      <c r="K18" s="25">
        <f t="shared" si="14"/>
        <v>-1.16241546875964</v>
      </c>
      <c r="L18" s="25">
        <f t="shared" si="14"/>
        <v>-1.5533371112686438</v>
      </c>
      <c r="M18" s="25">
        <f t="shared" si="14"/>
        <v>0.33353563894752719</v>
      </c>
      <c r="N18" s="25">
        <f t="shared" si="14"/>
        <v>-0.35946783642019664</v>
      </c>
      <c r="O18" s="25">
        <f t="shared" si="14"/>
        <v>0.99482159505796064</v>
      </c>
      <c r="P18" s="25">
        <f t="shared" si="14"/>
        <v>1.3702797289038584</v>
      </c>
      <c r="Q18" s="25">
        <f t="shared" si="14"/>
        <v>1.4882756029242592</v>
      </c>
      <c r="Y18" s="25">
        <f>Y17/Y19</f>
        <v>-0.17773280138881667</v>
      </c>
      <c r="Z18" s="25">
        <f>Z17/Z19</f>
        <v>-2.2287314772588895</v>
      </c>
      <c r="AA18" s="25">
        <f>AA17/AA19</f>
        <v>-2.7319555567934941</v>
      </c>
    </row>
    <row r="19" spans="2:27" s="17" customFormat="1" x14ac:dyDescent="0.2">
      <c r="B19" s="17" t="s">
        <v>4</v>
      </c>
      <c r="C19" s="17">
        <v>190.56539699999999</v>
      </c>
      <c r="D19" s="17">
        <v>191.172946</v>
      </c>
      <c r="E19" s="17">
        <v>191.48547300000001</v>
      </c>
      <c r="F19" s="17">
        <f>+Y19</f>
        <v>191.29839699999999</v>
      </c>
      <c r="G19" s="17">
        <v>192.476022</v>
      </c>
      <c r="H19" s="17">
        <v>192.94803200000001</v>
      </c>
      <c r="I19" s="17">
        <v>193.07733400000001</v>
      </c>
      <c r="J19" s="17">
        <f>+Z19</f>
        <v>192.93486200000001</v>
      </c>
      <c r="K19" s="17">
        <v>193.56246200000001</v>
      </c>
      <c r="L19" s="17">
        <v>194.42012800000001</v>
      </c>
      <c r="M19" s="17">
        <v>194.88172299999999</v>
      </c>
      <c r="N19" s="17">
        <f>AA19</f>
        <v>194.732304</v>
      </c>
      <c r="O19" s="17">
        <v>198.02545599999999</v>
      </c>
      <c r="P19" s="17">
        <v>199.959172</v>
      </c>
      <c r="Q19" s="17">
        <v>201.575568</v>
      </c>
      <c r="Y19" s="17">
        <v>191.29839699999999</v>
      </c>
      <c r="Z19" s="17">
        <v>192.93486200000001</v>
      </c>
      <c r="AA19" s="17">
        <v>194.732304</v>
      </c>
    </row>
    <row r="21" spans="2:27" s="29" customFormat="1" x14ac:dyDescent="0.2">
      <c r="B21" s="29" t="s">
        <v>45</v>
      </c>
      <c r="C21" s="34" t="s">
        <v>115</v>
      </c>
      <c r="D21" s="34" t="s">
        <v>115</v>
      </c>
      <c r="E21" s="34" t="s">
        <v>115</v>
      </c>
      <c r="F21" s="34" t="s">
        <v>115</v>
      </c>
      <c r="G21" s="29">
        <f t="shared" ref="G21:Q21" si="15">G6/C6-1</f>
        <v>0.23940381928272014</v>
      </c>
      <c r="H21" s="29">
        <f t="shared" si="15"/>
        <v>0.2286572286572286</v>
      </c>
      <c r="I21" s="29">
        <f t="shared" si="15"/>
        <v>0.21391443422630951</v>
      </c>
      <c r="J21" s="29">
        <f t="shared" si="15"/>
        <v>0.17738936407586459</v>
      </c>
      <c r="K21" s="29">
        <f t="shared" si="15"/>
        <v>0.14317925591882741</v>
      </c>
      <c r="L21" s="29">
        <f t="shared" si="15"/>
        <v>0.10928770949720668</v>
      </c>
      <c r="M21" s="29">
        <f t="shared" si="15"/>
        <v>0.10573122529644263</v>
      </c>
      <c r="N21" s="29">
        <f t="shared" si="15"/>
        <v>0.15950726468730259</v>
      </c>
      <c r="O21" s="29">
        <f t="shared" si="15"/>
        <v>0.19526627218934922</v>
      </c>
      <c r="P21" s="29">
        <f t="shared" si="15"/>
        <v>0.19830028328611893</v>
      </c>
      <c r="Q21" s="29">
        <f t="shared" si="15"/>
        <v>0.18796544533809945</v>
      </c>
      <c r="V21" s="34" t="s">
        <v>115</v>
      </c>
      <c r="Z21" s="29">
        <f>Z6/Y6-1</f>
        <v>0.21297062474141493</v>
      </c>
      <c r="AA21" s="29">
        <f>AA6/Z6-1</f>
        <v>0.12961541741280813</v>
      </c>
    </row>
    <row r="22" spans="2:27" s="27" customFormat="1" x14ac:dyDescent="0.2">
      <c r="B22" s="27" t="s">
        <v>46</v>
      </c>
      <c r="C22" s="34" t="s">
        <v>115</v>
      </c>
      <c r="D22" s="27">
        <f t="shared" ref="D22:Q22" si="16">D6/C6-1</f>
        <v>8.5700978108989245E-2</v>
      </c>
      <c r="E22" s="27">
        <f t="shared" si="16"/>
        <v>7.2930072930073031E-2</v>
      </c>
      <c r="F22" s="27">
        <f t="shared" si="16"/>
        <v>7.5169932027189024E-2</v>
      </c>
      <c r="G22" s="27">
        <f t="shared" si="16"/>
        <v>-1.0412792859799236E-2</v>
      </c>
      <c r="H22" s="27">
        <f t="shared" si="16"/>
        <v>7.6287110108981482E-2</v>
      </c>
      <c r="I22" s="27">
        <f t="shared" si="16"/>
        <v>6.0055865921787799E-2</v>
      </c>
      <c r="J22" s="27">
        <f t="shared" si="16"/>
        <v>4.2819499341238521E-2</v>
      </c>
      <c r="K22" s="27">
        <f t="shared" si="16"/>
        <v>-3.9166140240050495E-2</v>
      </c>
      <c r="L22" s="27">
        <f t="shared" si="16"/>
        <v>4.4378698224851965E-2</v>
      </c>
      <c r="M22" s="27">
        <f t="shared" si="16"/>
        <v>5.6657223796033884E-2</v>
      </c>
      <c r="N22" s="27">
        <f t="shared" si="16"/>
        <v>9.3535895144474246E-2</v>
      </c>
      <c r="O22" s="27">
        <f t="shared" si="16"/>
        <v>-9.5341868700626886E-3</v>
      </c>
      <c r="P22" s="27">
        <f t="shared" si="16"/>
        <v>4.7029702970297071E-2</v>
      </c>
      <c r="Q22" s="27">
        <f t="shared" si="16"/>
        <v>4.7543997898607859E-2</v>
      </c>
      <c r="V22" s="34" t="s">
        <v>115</v>
      </c>
      <c r="W22" s="34" t="s">
        <v>115</v>
      </c>
      <c r="X22" s="34" t="s">
        <v>115</v>
      </c>
      <c r="Y22" s="34" t="s">
        <v>115</v>
      </c>
      <c r="Z22" s="34" t="s">
        <v>115</v>
      </c>
      <c r="AA22" s="34" t="s">
        <v>115</v>
      </c>
    </row>
    <row r="24" spans="2:27" s="27" customFormat="1" x14ac:dyDescent="0.2">
      <c r="B24" s="27" t="s">
        <v>47</v>
      </c>
      <c r="C24" s="27">
        <f t="shared" ref="C24:P24" si="17">C8/C6</f>
        <v>0.25523986958546807</v>
      </c>
      <c r="D24" s="27">
        <f t="shared" si="17"/>
        <v>0.28442728442728443</v>
      </c>
      <c r="E24" s="27">
        <f t="shared" si="17"/>
        <v>0.26709316273490602</v>
      </c>
      <c r="F24" s="27">
        <f t="shared" si="17"/>
        <v>0.26478244700632203</v>
      </c>
      <c r="G24" s="27">
        <f t="shared" si="17"/>
        <v>0.25216084178880122</v>
      </c>
      <c r="H24" s="27">
        <f t="shared" si="17"/>
        <v>0.24581005586592178</v>
      </c>
      <c r="I24" s="27">
        <f t="shared" si="17"/>
        <v>0.24703557312252963</v>
      </c>
      <c r="J24" s="27">
        <f t="shared" si="17"/>
        <v>0.25300063171193937</v>
      </c>
      <c r="K24" s="27">
        <f t="shared" si="17"/>
        <v>0.2518080210387903</v>
      </c>
      <c r="L24" s="27">
        <f t="shared" si="17"/>
        <v>0.24110796348756688</v>
      </c>
      <c r="M24" s="27">
        <f t="shared" si="17"/>
        <v>0.26362823949955316</v>
      </c>
      <c r="N24" s="27">
        <f t="shared" si="17"/>
        <v>0.26695723236175428</v>
      </c>
      <c r="O24" s="27">
        <f t="shared" si="17"/>
        <v>0.27612761276127612</v>
      </c>
      <c r="P24" s="27">
        <f t="shared" si="17"/>
        <v>0.29209351195166799</v>
      </c>
      <c r="Q24" s="27">
        <f t="shared" ref="Q24" si="18">Q8/Q6</f>
        <v>0.31093279839518556</v>
      </c>
      <c r="Y24" s="27">
        <f>Y8/Y6</f>
        <v>0.26799751758378154</v>
      </c>
      <c r="Z24" s="27">
        <f>Z8/Z6</f>
        <v>0.2495096785196555</v>
      </c>
      <c r="AA24" s="27">
        <f>AA8/AA6</f>
        <v>0.25643541934022795</v>
      </c>
    </row>
    <row r="25" spans="2:27" s="27" customFormat="1" x14ac:dyDescent="0.2">
      <c r="B25" s="27" t="s">
        <v>48</v>
      </c>
      <c r="C25" s="27">
        <f t="shared" ref="C25:P25" si="19">C12/C6</f>
        <v>6.5207265952491851E-3</v>
      </c>
      <c r="D25" s="27">
        <f t="shared" si="19"/>
        <v>5.1480051480051478E-3</v>
      </c>
      <c r="E25" s="27">
        <f t="shared" si="19"/>
        <v>2.9988004798080767E-2</v>
      </c>
      <c r="F25" s="27">
        <f t="shared" si="19"/>
        <v>-2.6031982149497955E-3</v>
      </c>
      <c r="G25" s="27">
        <f t="shared" si="19"/>
        <v>-2.2547914317925591E-3</v>
      </c>
      <c r="H25" s="27">
        <f t="shared" si="19"/>
        <v>-6.773743016759777E-2</v>
      </c>
      <c r="I25" s="27">
        <f t="shared" si="19"/>
        <v>-7.5098814229249009E-2</v>
      </c>
      <c r="J25" s="27">
        <f t="shared" si="19"/>
        <v>-7.2962728995578013E-2</v>
      </c>
      <c r="K25" s="27">
        <f t="shared" si="19"/>
        <v>-5.128205128205128E-2</v>
      </c>
      <c r="L25" s="27">
        <f t="shared" si="19"/>
        <v>-7.7746301542335541E-2</v>
      </c>
      <c r="M25" s="27">
        <f t="shared" si="19"/>
        <v>9.5323205242776286E-3</v>
      </c>
      <c r="N25" s="27">
        <f t="shared" si="19"/>
        <v>-2.0430400435848543E-2</v>
      </c>
      <c r="O25" s="27">
        <f t="shared" si="19"/>
        <v>4.6204620462046202E-2</v>
      </c>
      <c r="P25" s="27">
        <f t="shared" si="19"/>
        <v>6.9871289729445757E-2</v>
      </c>
      <c r="Q25" s="27">
        <f t="shared" ref="Q25" si="20">Q12/Q6</f>
        <v>0.11384152457372117</v>
      </c>
      <c r="Y25" s="27">
        <f>Y12/Y6</f>
        <v>9.722796855606123E-3</v>
      </c>
      <c r="Z25" s="27">
        <f>Z12/Z6</f>
        <v>-5.6195105312526646E-2</v>
      </c>
      <c r="AA25" s="27">
        <f>AA12/AA6</f>
        <v>-3.3668000301955159E-2</v>
      </c>
    </row>
    <row r="26" spans="2:27" s="27" customFormat="1" x14ac:dyDescent="0.2">
      <c r="B26" s="27" t="s">
        <v>49</v>
      </c>
      <c r="C26" s="27">
        <f t="shared" ref="C26:P26" si="21">C17/C6</f>
        <v>1.0712622263623661E-2</v>
      </c>
      <c r="D26" s="27">
        <f t="shared" si="21"/>
        <v>-8.5800085800085794E-3</v>
      </c>
      <c r="E26" s="27">
        <f t="shared" si="21"/>
        <v>7.9968012794882047E-4</v>
      </c>
      <c r="F26" s="27">
        <f t="shared" si="21"/>
        <v>-1.4503532911863145E-2</v>
      </c>
      <c r="G26" s="27">
        <f t="shared" si="21"/>
        <v>4.9229612927470877E-2</v>
      </c>
      <c r="H26" s="27">
        <f t="shared" si="21"/>
        <v>-4.3645251396648044E-2</v>
      </c>
      <c r="I26" s="27">
        <f t="shared" si="21"/>
        <v>-5.4677206851119896E-2</v>
      </c>
      <c r="J26" s="27">
        <f t="shared" si="21"/>
        <v>-8.5281111813013261E-2</v>
      </c>
      <c r="K26" s="27">
        <f t="shared" si="21"/>
        <v>-7.3964497041420121E-2</v>
      </c>
      <c r="L26" s="27">
        <f t="shared" si="21"/>
        <v>-9.5058231035568153E-2</v>
      </c>
      <c r="M26" s="27">
        <f t="shared" si="21"/>
        <v>1.9362526064938934E-2</v>
      </c>
      <c r="N26" s="27">
        <f t="shared" si="21"/>
        <v>-1.9068373740125308E-2</v>
      </c>
      <c r="O26" s="27">
        <f t="shared" si="21"/>
        <v>5.4180418041804179E-2</v>
      </c>
      <c r="P26" s="27">
        <f t="shared" si="21"/>
        <v>7.1972681901759913E-2</v>
      </c>
      <c r="Q26" s="27">
        <f t="shared" ref="Q26" si="22">Q17/Q6</f>
        <v>7.5225677031093285E-2</v>
      </c>
      <c r="Y26" s="27">
        <f>Y17/Y6</f>
        <v>-3.5167563094745551E-3</v>
      </c>
      <c r="Z26" s="27">
        <f>Z17/Z6</f>
        <v>-3.6667519399675962E-2</v>
      </c>
      <c r="AA26" s="27">
        <f>AA17/AA6</f>
        <v>-4.0160036234619161E-2</v>
      </c>
    </row>
    <row r="27" spans="2:27" s="27" customFormat="1" x14ac:dyDescent="0.2">
      <c r="B27" s="27" t="s">
        <v>50</v>
      </c>
      <c r="C27" s="27">
        <f t="shared" ref="C27:I27" si="23">C16/C15</f>
        <v>0.73563218390804597</v>
      </c>
      <c r="D27" s="27">
        <f t="shared" si="23"/>
        <v>3.5</v>
      </c>
      <c r="E27" s="27">
        <f t="shared" si="23"/>
        <v>0.98765432098765427</v>
      </c>
      <c r="F27" s="27">
        <f t="shared" si="23"/>
        <v>-3.875</v>
      </c>
      <c r="G27" s="27">
        <f t="shared" si="23"/>
        <v>0.15483870967741936</v>
      </c>
      <c r="H27" s="27">
        <f t="shared" si="23"/>
        <v>-0.3888888888888889</v>
      </c>
      <c r="I27" s="27">
        <f t="shared" si="23"/>
        <v>-0.15277777777777779</v>
      </c>
      <c r="J27" s="27">
        <f t="shared" ref="J27" si="24">J16/J15</f>
        <v>7.2164948453608241E-2</v>
      </c>
      <c r="K27" s="27">
        <f t="shared" ref="K27:P27" si="25">K16/K15</f>
        <v>-9.2233009708737865E-2</v>
      </c>
      <c r="L27" s="27">
        <f t="shared" si="25"/>
        <v>-0.25311203319502074</v>
      </c>
      <c r="M27" s="27">
        <f t="shared" si="25"/>
        <v>0.1095890410958904</v>
      </c>
      <c r="N27" s="27">
        <f t="shared" si="25"/>
        <v>0.46564885496183206</v>
      </c>
      <c r="O27" s="27">
        <f t="shared" si="25"/>
        <v>-0.13218390804597702</v>
      </c>
      <c r="P27" s="27">
        <f t="shared" si="25"/>
        <v>-1.4814814814814815E-2</v>
      </c>
      <c r="Q27" s="27">
        <f t="shared" ref="Q27" si="26">Q16/Q15</f>
        <v>0.24623115577889448</v>
      </c>
      <c r="Y27" s="27">
        <f>Y16/Y15</f>
        <v>1.1365461847389557</v>
      </c>
      <c r="Z27" s="27">
        <f>Z16/Z15</f>
        <v>-0.16216216216216217</v>
      </c>
      <c r="AA27" s="27">
        <f>AA16/AA15</f>
        <v>-5.3465346534653464E-2</v>
      </c>
    </row>
    <row r="29" spans="2:27" x14ac:dyDescent="0.2">
      <c r="B29" s="30" t="s">
        <v>51</v>
      </c>
    </row>
    <row r="30" spans="2:27" x14ac:dyDescent="0.2">
      <c r="B30" s="1" t="s">
        <v>52</v>
      </c>
      <c r="C30" s="1">
        <v>356</v>
      </c>
      <c r="D30" s="1">
        <v>365</v>
      </c>
      <c r="E30" s="1">
        <v>381</v>
      </c>
      <c r="F30" s="1">
        <f>+Y30</f>
        <v>406</v>
      </c>
      <c r="G30" s="1">
        <v>422</v>
      </c>
      <c r="H30" s="1">
        <v>433</v>
      </c>
      <c r="I30" s="1">
        <v>456</v>
      </c>
      <c r="J30" s="1">
        <f>+Z30</f>
        <v>489</v>
      </c>
      <c r="K30" s="1">
        <v>515</v>
      </c>
      <c r="L30" s="1">
        <v>551</v>
      </c>
      <c r="M30" s="1">
        <v>574</v>
      </c>
      <c r="N30" s="1">
        <f>+AA30</f>
        <v>602</v>
      </c>
      <c r="O30" s="1">
        <v>615</v>
      </c>
      <c r="P30" s="1">
        <v>626</v>
      </c>
      <c r="Q30" s="1">
        <v>640</v>
      </c>
      <c r="Y30" s="1">
        <v>406</v>
      </c>
      <c r="Z30" s="1">
        <v>489</v>
      </c>
      <c r="AA30" s="1">
        <v>602</v>
      </c>
    </row>
    <row r="31" spans="2:27" s="40" customFormat="1" x14ac:dyDescent="0.2">
      <c r="B31" s="39" t="s">
        <v>119</v>
      </c>
      <c r="G31" s="40">
        <f t="shared" ref="G31:Q31" si="27">+G30/C30-1</f>
        <v>0.18539325842696619</v>
      </c>
      <c r="H31" s="40">
        <f t="shared" si="27"/>
        <v>0.1863013698630136</v>
      </c>
      <c r="I31" s="40">
        <f t="shared" si="27"/>
        <v>0.1968503937007875</v>
      </c>
      <c r="J31" s="40">
        <f t="shared" si="27"/>
        <v>0.20443349753694573</v>
      </c>
      <c r="K31" s="40">
        <f t="shared" si="27"/>
        <v>0.22037914691943139</v>
      </c>
      <c r="L31" s="40">
        <f t="shared" si="27"/>
        <v>0.27251732101616621</v>
      </c>
      <c r="M31" s="40">
        <f t="shared" si="27"/>
        <v>0.25877192982456143</v>
      </c>
      <c r="N31" s="40">
        <f t="shared" si="27"/>
        <v>0.23108384458077702</v>
      </c>
      <c r="O31" s="40">
        <f t="shared" si="27"/>
        <v>0.19417475728155331</v>
      </c>
      <c r="P31" s="40">
        <f t="shared" si="27"/>
        <v>0.13611615245009068</v>
      </c>
      <c r="Q31" s="40">
        <f t="shared" si="27"/>
        <v>0.11498257839721249</v>
      </c>
      <c r="Z31" s="40">
        <f>Z30/Y30-1</f>
        <v>0.20443349753694573</v>
      </c>
      <c r="AA31" s="40">
        <f>AA30/Z30-1</f>
        <v>0.23108384458077702</v>
      </c>
    </row>
    <row r="32" spans="2:27" x14ac:dyDescent="0.2">
      <c r="B32" s="1" t="s">
        <v>116</v>
      </c>
      <c r="C32" s="1">
        <v>158</v>
      </c>
      <c r="D32" s="1">
        <v>165</v>
      </c>
      <c r="E32" s="1">
        <v>172</v>
      </c>
      <c r="F32" s="1">
        <f>+Y32</f>
        <v>180</v>
      </c>
      <c r="G32" s="1">
        <v>182</v>
      </c>
      <c r="H32" s="1">
        <v>188</v>
      </c>
      <c r="I32" s="1">
        <v>195</v>
      </c>
      <c r="J32" s="1">
        <f>+Z32</f>
        <v>205</v>
      </c>
      <c r="K32" s="1">
        <v>210</v>
      </c>
      <c r="L32" s="1">
        <v>220</v>
      </c>
      <c r="M32" s="1">
        <v>226</v>
      </c>
      <c r="N32" s="1">
        <f>+AA32</f>
        <v>236</v>
      </c>
      <c r="O32" s="1">
        <v>239</v>
      </c>
      <c r="P32" s="1">
        <v>246</v>
      </c>
      <c r="Q32" s="1">
        <v>252</v>
      </c>
      <c r="Y32" s="1">
        <v>180</v>
      </c>
      <c r="Z32" s="1">
        <v>205</v>
      </c>
      <c r="AA32" s="1">
        <v>236</v>
      </c>
    </row>
    <row r="33" spans="2:27" s="40" customFormat="1" x14ac:dyDescent="0.2">
      <c r="B33" s="39" t="s">
        <v>120</v>
      </c>
      <c r="G33" s="40">
        <f t="shared" ref="G33:Q33" si="28">+G32/C32-1</f>
        <v>0.15189873417721511</v>
      </c>
      <c r="H33" s="40">
        <f t="shared" si="28"/>
        <v>0.1393939393939394</v>
      </c>
      <c r="I33" s="40">
        <f t="shared" si="28"/>
        <v>0.13372093023255816</v>
      </c>
      <c r="J33" s="40">
        <f t="shared" si="28"/>
        <v>0.13888888888888884</v>
      </c>
      <c r="K33" s="40">
        <f t="shared" si="28"/>
        <v>0.15384615384615374</v>
      </c>
      <c r="L33" s="40">
        <f t="shared" si="28"/>
        <v>0.17021276595744683</v>
      </c>
      <c r="M33" s="40">
        <f t="shared" si="28"/>
        <v>0.15897435897435908</v>
      </c>
      <c r="N33" s="40">
        <f t="shared" si="28"/>
        <v>0.15121951219512186</v>
      </c>
      <c r="O33" s="40">
        <f t="shared" si="28"/>
        <v>0.13809523809523805</v>
      </c>
      <c r="P33" s="40">
        <f t="shared" si="28"/>
        <v>0.11818181818181817</v>
      </c>
      <c r="Q33" s="40">
        <f t="shared" si="28"/>
        <v>0.11504424778761058</v>
      </c>
      <c r="Z33" s="40">
        <f>Z32/Y32-1</f>
        <v>0.13888888888888884</v>
      </c>
      <c r="AA33" s="40">
        <f>AA32/Z32-1</f>
        <v>0.15121951219512186</v>
      </c>
    </row>
    <row r="34" spans="2:27" x14ac:dyDescent="0.2">
      <c r="B34" s="1" t="s">
        <v>117</v>
      </c>
      <c r="C34" s="1">
        <v>208</v>
      </c>
      <c r="D34" s="1">
        <v>210</v>
      </c>
      <c r="E34" s="1">
        <v>220</v>
      </c>
      <c r="F34" s="1">
        <f>+Y34</f>
        <v>236</v>
      </c>
      <c r="G34" s="1">
        <v>252</v>
      </c>
      <c r="H34" s="1">
        <v>256</v>
      </c>
      <c r="I34" s="1">
        <v>273</v>
      </c>
      <c r="J34" s="1">
        <f>+Z34</f>
        <v>295</v>
      </c>
      <c r="K34" s="1">
        <v>317</v>
      </c>
      <c r="L34" s="1">
        <v>343</v>
      </c>
      <c r="M34" s="1">
        <v>361</v>
      </c>
      <c r="N34" s="1">
        <f>+AA34</f>
        <v>379</v>
      </c>
      <c r="O34" s="1">
        <v>388</v>
      </c>
      <c r="P34" s="1">
        <v>393</v>
      </c>
      <c r="Q34" s="1">
        <v>402</v>
      </c>
      <c r="Y34" s="1">
        <v>236</v>
      </c>
      <c r="Z34" s="1">
        <v>295</v>
      </c>
      <c r="AA34" s="1">
        <v>379</v>
      </c>
    </row>
    <row r="35" spans="2:27" s="40" customFormat="1" x14ac:dyDescent="0.2">
      <c r="B35" s="39" t="s">
        <v>121</v>
      </c>
      <c r="G35" s="40">
        <f t="shared" ref="G35:Q35" si="29">+G34/C34-1</f>
        <v>0.21153846153846145</v>
      </c>
      <c r="H35" s="40">
        <f t="shared" si="29"/>
        <v>0.21904761904761916</v>
      </c>
      <c r="I35" s="40">
        <f t="shared" si="29"/>
        <v>0.24090909090909096</v>
      </c>
      <c r="J35" s="40">
        <f t="shared" si="29"/>
        <v>0.25</v>
      </c>
      <c r="K35" s="40">
        <f t="shared" si="29"/>
        <v>0.25793650793650791</v>
      </c>
      <c r="L35" s="40">
        <f t="shared" si="29"/>
        <v>0.33984375</v>
      </c>
      <c r="M35" s="40">
        <f t="shared" si="29"/>
        <v>0.32234432234432231</v>
      </c>
      <c r="N35" s="40">
        <f t="shared" si="29"/>
        <v>0.28474576271186436</v>
      </c>
      <c r="O35" s="40">
        <f t="shared" si="29"/>
        <v>0.22397476340694</v>
      </c>
      <c r="P35" s="40">
        <f t="shared" si="29"/>
        <v>0.14577259475218662</v>
      </c>
      <c r="Q35" s="40">
        <f t="shared" si="29"/>
        <v>0.11357340720221609</v>
      </c>
      <c r="Z35" s="40">
        <f>Z34/Y34-1</f>
        <v>0.25</v>
      </c>
      <c r="AA35" s="40">
        <f>AA34/Z34-1</f>
        <v>0.28474576271186436</v>
      </c>
    </row>
    <row r="36" spans="2:27" x14ac:dyDescent="0.2">
      <c r="B36" s="1" t="s">
        <v>118</v>
      </c>
      <c r="C36" s="1">
        <v>4.12</v>
      </c>
      <c r="D36" s="1">
        <v>4.29</v>
      </c>
      <c r="E36" s="1">
        <v>4.34</v>
      </c>
      <c r="F36" s="1">
        <f>+Y36</f>
        <v>4.29</v>
      </c>
      <c r="G36" s="1">
        <v>4.38</v>
      </c>
      <c r="H36" s="1">
        <v>4.54</v>
      </c>
      <c r="I36" s="1">
        <v>4.63</v>
      </c>
      <c r="J36" s="1">
        <f>+Z36</f>
        <v>4.5199999999999996</v>
      </c>
      <c r="K36" s="1">
        <v>4.32</v>
      </c>
      <c r="L36" s="1">
        <v>4.2699999999999996</v>
      </c>
      <c r="M36" s="1">
        <v>4.34</v>
      </c>
      <c r="N36" s="1">
        <f>+AA36</f>
        <v>4.3899999999999997</v>
      </c>
      <c r="O36" s="1">
        <v>4.55</v>
      </c>
      <c r="P36" s="1">
        <v>4.62</v>
      </c>
      <c r="Q36" s="1">
        <v>4.71</v>
      </c>
      <c r="Y36" s="1">
        <v>4.29</v>
      </c>
      <c r="Z36" s="1">
        <v>4.5199999999999996</v>
      </c>
      <c r="AA36" s="1">
        <v>4.3899999999999997</v>
      </c>
    </row>
    <row r="38" spans="2:27" s="17" customFormat="1" x14ac:dyDescent="0.2">
      <c r="B38" s="17" t="s">
        <v>131</v>
      </c>
      <c r="Y38" s="17">
        <v>705</v>
      </c>
      <c r="Z38" s="17">
        <v>785</v>
      </c>
      <c r="AA38" s="17">
        <v>663</v>
      </c>
    </row>
    <row r="39" spans="2:27" s="17" customFormat="1" x14ac:dyDescent="0.2">
      <c r="B39" s="17" t="s">
        <v>132</v>
      </c>
      <c r="Y39" s="17">
        <v>1654</v>
      </c>
      <c r="Z39" s="17">
        <v>2043</v>
      </c>
      <c r="AA39" s="17">
        <v>2403</v>
      </c>
    </row>
    <row r="40" spans="2:27" s="17" customFormat="1" x14ac:dyDescent="0.2">
      <c r="B40" s="17" t="s">
        <v>133</v>
      </c>
      <c r="Y40" s="17">
        <v>3175</v>
      </c>
      <c r="Z40" s="17">
        <v>4169</v>
      </c>
      <c r="AA40" s="17">
        <v>4719</v>
      </c>
    </row>
    <row r="41" spans="2:27" s="17" customFormat="1" x14ac:dyDescent="0.2">
      <c r="B41" s="17" t="s">
        <v>134</v>
      </c>
      <c r="Y41" s="17">
        <v>1083</v>
      </c>
      <c r="Z41" s="17">
        <v>1362</v>
      </c>
      <c r="AA41" s="17">
        <v>1338</v>
      </c>
    </row>
    <row r="42" spans="2:27" s="26" customFormat="1" x14ac:dyDescent="0.2">
      <c r="B42" s="26" t="s">
        <v>53</v>
      </c>
      <c r="Y42" s="26">
        <f>+SUM(Y38:Y41)</f>
        <v>6617</v>
      </c>
      <c r="Z42" s="26">
        <f>+SUM(Z38:Z41)</f>
        <v>8359</v>
      </c>
      <c r="AA42" s="26">
        <f>+SUM(AA38:AA41)</f>
        <v>9123</v>
      </c>
    </row>
    <row r="43" spans="2:27" s="35" customFormat="1" x14ac:dyDescent="0.2">
      <c r="B43" s="36" t="s">
        <v>135</v>
      </c>
      <c r="Z43" s="35">
        <f>+Z42/Y42-1</f>
        <v>0.26326129666011777</v>
      </c>
      <c r="AA43" s="35">
        <f>+AA42/Z42-1</f>
        <v>9.1398492642660534E-2</v>
      </c>
    </row>
    <row r="45" spans="2:27" x14ac:dyDescent="0.2">
      <c r="B45" s="30" t="s">
        <v>54</v>
      </c>
    </row>
    <row r="46" spans="2:27" s="17" customFormat="1" x14ac:dyDescent="0.2">
      <c r="B46" s="17" t="s">
        <v>55</v>
      </c>
      <c r="N46" s="17">
        <v>300</v>
      </c>
      <c r="O46" s="17">
        <v>274</v>
      </c>
      <c r="P46" s="17">
        <v>254</v>
      </c>
      <c r="Q46" s="17">
        <v>235</v>
      </c>
    </row>
    <row r="47" spans="2:27" s="17" customFormat="1" x14ac:dyDescent="0.2">
      <c r="B47" s="17" t="s">
        <v>56</v>
      </c>
      <c r="N47" s="17">
        <v>247</v>
      </c>
      <c r="O47" s="17">
        <v>224</v>
      </c>
      <c r="P47" s="17">
        <v>211</v>
      </c>
      <c r="Q47" s="17">
        <v>195</v>
      </c>
    </row>
    <row r="48" spans="2:27" s="17" customFormat="1" x14ac:dyDescent="0.2">
      <c r="B48" s="17" t="s">
        <v>57</v>
      </c>
      <c r="N48" s="17">
        <f>1137+84</f>
        <v>1221</v>
      </c>
      <c r="O48" s="17">
        <f>1159+76</f>
        <v>1235</v>
      </c>
      <c r="P48" s="17">
        <f>1167+68</f>
        <v>1235</v>
      </c>
      <c r="Q48" s="17">
        <f>1128+58</f>
        <v>1186</v>
      </c>
    </row>
    <row r="49" spans="2:17" s="26" customFormat="1" x14ac:dyDescent="0.2">
      <c r="B49" s="26" t="s">
        <v>58</v>
      </c>
      <c r="N49" s="26">
        <v>1215</v>
      </c>
      <c r="O49" s="26">
        <v>1534</v>
      </c>
      <c r="P49" s="26">
        <v>1931</v>
      </c>
      <c r="Q49" s="26">
        <v>1604</v>
      </c>
    </row>
    <row r="50" spans="2:17" s="17" customFormat="1" x14ac:dyDescent="0.2">
      <c r="B50" s="17" t="s">
        <v>59</v>
      </c>
      <c r="N50" s="17">
        <v>75</v>
      </c>
      <c r="O50" s="17">
        <v>72</v>
      </c>
      <c r="P50" s="17">
        <v>70</v>
      </c>
      <c r="Q50" s="17">
        <v>72</v>
      </c>
    </row>
    <row r="51" spans="2:17" s="17" customFormat="1" x14ac:dyDescent="0.2">
      <c r="B51" s="17" t="s">
        <v>60</v>
      </c>
      <c r="N51" s="17">
        <v>0</v>
      </c>
      <c r="O51" s="17">
        <v>51</v>
      </c>
      <c r="P51" s="17">
        <v>52</v>
      </c>
      <c r="Q51" s="17">
        <v>64</v>
      </c>
    </row>
    <row r="52" spans="2:17" s="17" customFormat="1" x14ac:dyDescent="0.2">
      <c r="B52" s="17" t="s">
        <v>61</v>
      </c>
      <c r="N52" s="17">
        <v>28</v>
      </c>
      <c r="O52" s="17">
        <v>41</v>
      </c>
      <c r="P52" s="17">
        <v>49</v>
      </c>
      <c r="Q52" s="17">
        <v>194</v>
      </c>
    </row>
    <row r="53" spans="2:17" s="17" customFormat="1" x14ac:dyDescent="0.2">
      <c r="B53" s="17" t="s">
        <v>62</v>
      </c>
      <c r="N53" s="17">
        <v>858</v>
      </c>
      <c r="O53" s="17">
        <v>777</v>
      </c>
      <c r="P53" s="17">
        <v>753</v>
      </c>
      <c r="Q53" s="17">
        <v>749</v>
      </c>
    </row>
    <row r="54" spans="2:17" s="17" customFormat="1" x14ac:dyDescent="0.2">
      <c r="B54" s="17" t="s">
        <v>42</v>
      </c>
      <c r="N54" s="17">
        <v>20</v>
      </c>
      <c r="O54" s="17">
        <v>21</v>
      </c>
      <c r="P54" s="17">
        <v>35</v>
      </c>
      <c r="Q54" s="17">
        <v>27</v>
      </c>
    </row>
    <row r="55" spans="2:17" s="26" customFormat="1" x14ac:dyDescent="0.2">
      <c r="B55" s="26" t="s">
        <v>63</v>
      </c>
      <c r="N55" s="26">
        <v>1100</v>
      </c>
      <c r="O55" s="26">
        <v>1220</v>
      </c>
      <c r="P55" s="26">
        <v>1344</v>
      </c>
      <c r="Q55" s="26">
        <v>1392</v>
      </c>
    </row>
    <row r="56" spans="2:17" s="26" customFormat="1" x14ac:dyDescent="0.2">
      <c r="B56" s="26" t="s">
        <v>6</v>
      </c>
      <c r="N56" s="26">
        <v>3114</v>
      </c>
      <c r="O56" s="26">
        <v>3451</v>
      </c>
      <c r="P56" s="26">
        <v>4054</v>
      </c>
      <c r="Q56" s="26">
        <v>4688</v>
      </c>
    </row>
    <row r="57" spans="2:17" s="17" customFormat="1" x14ac:dyDescent="0.2">
      <c r="B57" s="17" t="s">
        <v>64</v>
      </c>
      <c r="N57" s="17">
        <v>168</v>
      </c>
      <c r="O57" s="17">
        <v>175</v>
      </c>
      <c r="P57" s="17">
        <v>158</v>
      </c>
      <c r="Q57" s="17">
        <v>147</v>
      </c>
    </row>
    <row r="58" spans="2:17" s="17" customFormat="1" x14ac:dyDescent="0.2">
      <c r="B58" s="17" t="s">
        <v>65</v>
      </c>
      <c r="N58" s="17">
        <f>SUM(N46:N57)</f>
        <v>8346</v>
      </c>
      <c r="O58" s="17">
        <f>SUM(O46:O57)</f>
        <v>9075</v>
      </c>
      <c r="P58" s="17">
        <f>SUM(P46:P57)</f>
        <v>10146</v>
      </c>
      <c r="Q58" s="17">
        <f>SUM(Q46:Q57)</f>
        <v>10553</v>
      </c>
    </row>
    <row r="59" spans="2:17" s="17" customFormat="1" x14ac:dyDescent="0.2"/>
    <row r="60" spans="2:17" s="26" customFormat="1" x14ac:dyDescent="0.2">
      <c r="B60" s="26" t="s">
        <v>66</v>
      </c>
      <c r="N60" s="26">
        <v>1203</v>
      </c>
      <c r="O60" s="26">
        <v>1270</v>
      </c>
      <c r="P60" s="26">
        <v>1323</v>
      </c>
      <c r="Q60" s="26">
        <v>1340</v>
      </c>
    </row>
    <row r="61" spans="2:17" s="17" customFormat="1" x14ac:dyDescent="0.2">
      <c r="B61" s="17" t="s">
        <v>67</v>
      </c>
      <c r="N61" s="17">
        <v>493</v>
      </c>
      <c r="O61" s="17">
        <v>493</v>
      </c>
      <c r="P61" s="17">
        <v>472</v>
      </c>
      <c r="Q61" s="17">
        <v>446</v>
      </c>
    </row>
    <row r="62" spans="2:17" s="17" customFormat="1" x14ac:dyDescent="0.2">
      <c r="B62" s="17" t="s">
        <v>68</v>
      </c>
      <c r="N62" s="17">
        <v>26</v>
      </c>
      <c r="O62" s="17">
        <v>17</v>
      </c>
      <c r="P62" s="17">
        <v>11</v>
      </c>
      <c r="Q62" s="17">
        <v>5</v>
      </c>
    </row>
    <row r="63" spans="2:17" s="17" customFormat="1" x14ac:dyDescent="0.2">
      <c r="B63" s="17" t="s">
        <v>69</v>
      </c>
      <c r="N63" s="17">
        <v>3</v>
      </c>
      <c r="O63" s="17">
        <v>3</v>
      </c>
      <c r="P63" s="17">
        <v>3</v>
      </c>
      <c r="Q63" s="17">
        <v>3</v>
      </c>
    </row>
    <row r="64" spans="2:17" s="17" customFormat="1" x14ac:dyDescent="0.2">
      <c r="B64" s="17" t="s">
        <v>61</v>
      </c>
      <c r="N64" s="17">
        <v>8</v>
      </c>
      <c r="O64" s="17">
        <v>17</v>
      </c>
      <c r="P64" s="17">
        <v>19</v>
      </c>
      <c r="Q64" s="17">
        <v>20</v>
      </c>
    </row>
    <row r="65" spans="2:17" s="17" customFormat="1" x14ac:dyDescent="0.2">
      <c r="B65" s="17" t="s">
        <v>70</v>
      </c>
      <c r="N65" s="17">
        <v>978</v>
      </c>
      <c r="O65" s="17">
        <v>1048</v>
      </c>
      <c r="P65" s="17">
        <v>1091</v>
      </c>
      <c r="Q65" s="17">
        <v>1084</v>
      </c>
    </row>
    <row r="66" spans="2:17" s="17" customFormat="1" x14ac:dyDescent="0.2">
      <c r="B66" s="17" t="s">
        <v>42</v>
      </c>
      <c r="N66" s="17">
        <v>12</v>
      </c>
      <c r="O66" s="17">
        <v>14</v>
      </c>
      <c r="P66" s="17">
        <v>17</v>
      </c>
      <c r="Q66" s="17">
        <v>21</v>
      </c>
    </row>
    <row r="67" spans="2:17" s="17" customFormat="1" x14ac:dyDescent="0.2">
      <c r="B67" s="17" t="s">
        <v>83</v>
      </c>
      <c r="N67" s="17">
        <v>622</v>
      </c>
      <c r="O67" s="17">
        <v>634</v>
      </c>
      <c r="P67" s="17">
        <v>657</v>
      </c>
      <c r="Q67" s="17">
        <v>680</v>
      </c>
    </row>
    <row r="68" spans="2:17" s="17" customFormat="1" x14ac:dyDescent="0.2">
      <c r="B68" s="17" t="s">
        <v>85</v>
      </c>
      <c r="N68" s="17">
        <v>2440</v>
      </c>
      <c r="O68" s="17">
        <v>2228</v>
      </c>
      <c r="P68" s="17">
        <v>2223</v>
      </c>
      <c r="Q68" s="17">
        <v>2275</v>
      </c>
    </row>
    <row r="69" spans="2:17" s="17" customFormat="1" x14ac:dyDescent="0.2">
      <c r="B69" s="17" t="s">
        <v>69</v>
      </c>
      <c r="N69" s="17">
        <v>21</v>
      </c>
      <c r="O69" s="17">
        <v>20</v>
      </c>
      <c r="P69" s="17">
        <v>24</v>
      </c>
      <c r="Q69" s="17">
        <v>24</v>
      </c>
    </row>
    <row r="70" spans="2:17" s="26" customFormat="1" x14ac:dyDescent="0.2">
      <c r="B70" s="26" t="s">
        <v>84</v>
      </c>
      <c r="N70" s="26">
        <v>17</v>
      </c>
      <c r="O70" s="26">
        <v>22</v>
      </c>
      <c r="P70" s="26">
        <v>47</v>
      </c>
      <c r="Q70" s="26">
        <v>22</v>
      </c>
    </row>
    <row r="71" spans="2:17" s="17" customFormat="1" x14ac:dyDescent="0.2">
      <c r="B71" s="17" t="s">
        <v>71</v>
      </c>
      <c r="N71" s="17">
        <f>SUM(N60:N70)</f>
        <v>5823</v>
      </c>
      <c r="O71" s="17">
        <f>SUM(O60:O70)</f>
        <v>5766</v>
      </c>
      <c r="P71" s="17">
        <f>SUM(P60:P70)</f>
        <v>5887</v>
      </c>
      <c r="Q71" s="17">
        <f>SUM(Q60:Q70)</f>
        <v>5920</v>
      </c>
    </row>
    <row r="72" spans="2:17" s="17" customFormat="1" x14ac:dyDescent="0.2"/>
    <row r="73" spans="2:17" s="17" customFormat="1" x14ac:dyDescent="0.2">
      <c r="B73" s="17" t="s">
        <v>72</v>
      </c>
      <c r="N73" s="17">
        <v>2523</v>
      </c>
      <c r="O73" s="17">
        <v>3309</v>
      </c>
      <c r="P73" s="17">
        <v>4259</v>
      </c>
      <c r="Q73" s="17">
        <v>4633</v>
      </c>
    </row>
    <row r="74" spans="2:17" s="17" customFormat="1" x14ac:dyDescent="0.2">
      <c r="B74" s="17" t="s">
        <v>73</v>
      </c>
      <c r="N74" s="17">
        <f>N73+N71</f>
        <v>8346</v>
      </c>
      <c r="O74" s="17">
        <f>O73+O71</f>
        <v>9075</v>
      </c>
      <c r="P74" s="17">
        <f>P73+P71</f>
        <v>10146</v>
      </c>
      <c r="Q74" s="17">
        <f>Q73+Q71</f>
        <v>10553</v>
      </c>
    </row>
    <row r="76" spans="2:17" x14ac:dyDescent="0.2">
      <c r="B76" s="1" t="s">
        <v>74</v>
      </c>
      <c r="N76" s="17"/>
      <c r="O76" s="17">
        <f>O58-O71</f>
        <v>3309</v>
      </c>
      <c r="P76" s="17">
        <f>P58-P71</f>
        <v>4259</v>
      </c>
      <c r="Q76" s="17">
        <f>Q58-Q71</f>
        <v>4633</v>
      </c>
    </row>
    <row r="77" spans="2:17" x14ac:dyDescent="0.2">
      <c r="B77" s="1" t="s">
        <v>75</v>
      </c>
      <c r="O77" s="1">
        <f>O76/O19</f>
        <v>16.709972883486252</v>
      </c>
      <c r="P77" s="1">
        <f>P76/P19</f>
        <v>21.299348048910705</v>
      </c>
      <c r="Q77" s="1">
        <f>Q76/Q19</f>
        <v>22.983936227826977</v>
      </c>
    </row>
    <row r="79" spans="2:17" x14ac:dyDescent="0.2">
      <c r="B79" s="1" t="s">
        <v>6</v>
      </c>
      <c r="N79" s="17">
        <f>+N49+N55+N56</f>
        <v>5429</v>
      </c>
      <c r="O79" s="17">
        <f>+O49+O55+O56</f>
        <v>6205</v>
      </c>
      <c r="P79" s="17">
        <f>+P49+P55+P56</f>
        <v>7329</v>
      </c>
      <c r="Q79" s="17">
        <f t="shared" ref="Q79" si="30">+Q49+Q55+Q56</f>
        <v>7684</v>
      </c>
    </row>
    <row r="80" spans="2:17" x14ac:dyDescent="0.2">
      <c r="B80" s="1" t="s">
        <v>7</v>
      </c>
      <c r="N80" s="17">
        <f>+N60+N70</f>
        <v>1220</v>
      </c>
      <c r="O80" s="17">
        <f>+O60+O70</f>
        <v>1292</v>
      </c>
      <c r="P80" s="17">
        <f>+P60+P70</f>
        <v>1370</v>
      </c>
      <c r="Q80" s="17">
        <f t="shared" ref="Q80" si="31">+Q60+Q70</f>
        <v>1362</v>
      </c>
    </row>
    <row r="81" spans="2:27" x14ac:dyDescent="0.2">
      <c r="B81" s="1" t="s">
        <v>8</v>
      </c>
      <c r="N81" s="17">
        <f>N79-N80</f>
        <v>4209</v>
      </c>
      <c r="O81" s="17">
        <f>O79-O80</f>
        <v>4913</v>
      </c>
      <c r="P81" s="17">
        <f>P79-P80</f>
        <v>5959</v>
      </c>
      <c r="Q81" s="17">
        <f t="shared" ref="Q81" si="32">Q79-Q80</f>
        <v>6322</v>
      </c>
    </row>
    <row r="83" spans="2:27" x14ac:dyDescent="0.2">
      <c r="B83" s="1" t="s">
        <v>76</v>
      </c>
      <c r="N83" s="1">
        <v>187.91</v>
      </c>
      <c r="O83" s="1">
        <v>263.89999999999998</v>
      </c>
      <c r="P83" s="1">
        <v>313.79000000000002</v>
      </c>
      <c r="Q83" s="1">
        <v>368.53</v>
      </c>
    </row>
    <row r="84" spans="2:27" s="17" customFormat="1" x14ac:dyDescent="0.2">
      <c r="B84" s="17" t="s">
        <v>5</v>
      </c>
      <c r="N84" s="17">
        <f>+N83*N19</f>
        <v>36592.14724464</v>
      </c>
      <c r="O84" s="17">
        <f>+O83*O19</f>
        <v>52258.91783839999</v>
      </c>
      <c r="P84" s="17">
        <f>+P83*P19</f>
        <v>62745.18858188</v>
      </c>
      <c r="Q84" s="17">
        <f>+Q83*Q19</f>
        <v>74286.644075039992</v>
      </c>
    </row>
    <row r="85" spans="2:27" x14ac:dyDescent="0.2">
      <c r="B85" s="1" t="s">
        <v>9</v>
      </c>
    </row>
    <row r="86" spans="2:27" x14ac:dyDescent="0.2">
      <c r="B86" s="1" t="s">
        <v>136</v>
      </c>
    </row>
    <row r="88" spans="2:27" s="42" customFormat="1" x14ac:dyDescent="0.2">
      <c r="B88" s="42" t="s">
        <v>77</v>
      </c>
      <c r="O88" s="42">
        <f>+O83/O77</f>
        <v>15.79296398863705</v>
      </c>
      <c r="P88" s="42">
        <f>+P83/P77</f>
        <v>14.73237581166471</v>
      </c>
      <c r="Q88" s="42">
        <f>+Q83/Q77</f>
        <v>16.03424219189294</v>
      </c>
    </row>
    <row r="89" spans="2:27" x14ac:dyDescent="0.2">
      <c r="B89" s="1" t="s">
        <v>78</v>
      </c>
    </row>
    <row r="90" spans="2:27" x14ac:dyDescent="0.2">
      <c r="B90" s="1" t="s">
        <v>79</v>
      </c>
    </row>
    <row r="91" spans="2:27" x14ac:dyDescent="0.2">
      <c r="B91" s="1" t="s">
        <v>80</v>
      </c>
    </row>
    <row r="92" spans="2:27" x14ac:dyDescent="0.2">
      <c r="B92" s="1" t="s">
        <v>81</v>
      </c>
    </row>
    <row r="95" spans="2:27" x14ac:dyDescent="0.2">
      <c r="B95" s="30" t="s">
        <v>82</v>
      </c>
    </row>
    <row r="96" spans="2:27" x14ac:dyDescent="0.2">
      <c r="B96" s="1" t="s">
        <v>108</v>
      </c>
      <c r="K96" s="1">
        <v>59</v>
      </c>
      <c r="L96" s="1">
        <f>72-K96</f>
        <v>13</v>
      </c>
      <c r="M96" s="1">
        <f>283-SUM(K96:L96)</f>
        <v>211</v>
      </c>
      <c r="N96" s="1">
        <f>AA96-SUM(K96:M96)</f>
        <v>397</v>
      </c>
      <c r="O96" s="1">
        <v>211</v>
      </c>
      <c r="P96" s="1">
        <f>703-O96</f>
        <v>492</v>
      </c>
      <c r="Q96" s="1">
        <v>715</v>
      </c>
      <c r="Y96" s="1">
        <v>361</v>
      </c>
      <c r="Z96" s="1">
        <v>46</v>
      </c>
      <c r="AA96" s="1">
        <v>680</v>
      </c>
    </row>
    <row r="97" spans="2:27" x14ac:dyDescent="0.2">
      <c r="B97" s="1" t="s">
        <v>109</v>
      </c>
      <c r="K97" s="1">
        <v>2</v>
      </c>
      <c r="L97" s="1">
        <f>4-K97</f>
        <v>2</v>
      </c>
      <c r="M97" s="1">
        <f>5-SUM(K97:L97)</f>
        <v>1</v>
      </c>
      <c r="N97" s="1">
        <f>AA97-SUM(K97:M97)</f>
        <v>1</v>
      </c>
      <c r="O97" s="1">
        <v>5</v>
      </c>
      <c r="P97" s="1">
        <f>7-O97</f>
        <v>2</v>
      </c>
      <c r="Q97" s="1">
        <v>4</v>
      </c>
      <c r="Y97" s="1">
        <v>85</v>
      </c>
      <c r="Z97" s="1">
        <v>25</v>
      </c>
      <c r="AA97" s="1">
        <v>6</v>
      </c>
    </row>
    <row r="98" spans="2:27" x14ac:dyDescent="0.2">
      <c r="B98" s="1" t="s">
        <v>110</v>
      </c>
      <c r="K98" s="1">
        <f t="shared" ref="K98:Q98" si="33">K96-K97</f>
        <v>57</v>
      </c>
      <c r="L98" s="1">
        <f t="shared" si="33"/>
        <v>11</v>
      </c>
      <c r="M98" s="1">
        <f t="shared" si="33"/>
        <v>210</v>
      </c>
      <c r="N98" s="1">
        <f t="shared" si="33"/>
        <v>396</v>
      </c>
      <c r="O98" s="1">
        <f t="shared" si="33"/>
        <v>206</v>
      </c>
      <c r="P98" s="1">
        <f t="shared" si="33"/>
        <v>490</v>
      </c>
      <c r="Q98" s="1">
        <f t="shared" si="33"/>
        <v>711</v>
      </c>
      <c r="Y98" s="1">
        <f>Y96-Y97</f>
        <v>276</v>
      </c>
      <c r="Z98" s="1">
        <f>Z96-Z97</f>
        <v>21</v>
      </c>
      <c r="AA98" s="1">
        <f>AA96-AA97</f>
        <v>674</v>
      </c>
    </row>
    <row r="100" spans="2:27" x14ac:dyDescent="0.2">
      <c r="B100" s="1" t="s">
        <v>113</v>
      </c>
      <c r="K100" s="1">
        <f t="shared" ref="K100:Q100" si="34">K98/K19</f>
        <v>0.29447858541910876</v>
      </c>
      <c r="L100" s="1">
        <f t="shared" si="34"/>
        <v>5.6578504052831401E-2</v>
      </c>
      <c r="M100" s="1">
        <f t="shared" si="34"/>
        <v>1.0775766796766262</v>
      </c>
      <c r="N100" s="1">
        <f t="shared" si="34"/>
        <v>2.0335609031771122</v>
      </c>
      <c r="O100" s="1">
        <f t="shared" si="34"/>
        <v>1.0402702973702533</v>
      </c>
      <c r="P100" s="1">
        <f t="shared" si="34"/>
        <v>2.4505002451200388</v>
      </c>
      <c r="Q100" s="1">
        <f t="shared" si="34"/>
        <v>3.5272131789304941</v>
      </c>
    </row>
    <row r="101" spans="2:27" x14ac:dyDescent="0.2">
      <c r="B101" s="1" t="s">
        <v>111</v>
      </c>
    </row>
  </sheetData>
  <hyperlinks>
    <hyperlink ref="P1" r:id="rId1" location="i6219ef351862462cb4b73859389025cb_16" display="Q324" xr:uid="{433CFE42-8F11-4138-BF69-ED2A097CD3E1}"/>
    <hyperlink ref="O1" r:id="rId2" location="id06dbc282f924b73a0b57d5ec1e0dafd_16" xr:uid="{ACF852A1-1AD6-46A6-BCFA-CED6FD1BC8D0}"/>
    <hyperlink ref="AA1" r:id="rId3" xr:uid="{4E0D9137-3DBE-4E8B-BDE9-045CDC9EC012}"/>
    <hyperlink ref="N1" r:id="rId4" xr:uid="{EC2419FD-8B8D-45FB-92A3-C1F913E6AB48}"/>
    <hyperlink ref="M1" r:id="rId5" xr:uid="{09C77A37-9A10-4E67-BE11-FEB47923ED6E}"/>
    <hyperlink ref="H1" r:id="rId6" xr:uid="{D41EEB08-11F5-44A0-AE7C-6D2A90771DA1}"/>
    <hyperlink ref="G1" r:id="rId7" xr:uid="{B826FA8F-1C74-496D-8D94-CD8D3D7C295B}"/>
    <hyperlink ref="E1" r:id="rId8" xr:uid="{8F38F335-CB1A-4AF1-82E9-A4C1724F4702}"/>
    <hyperlink ref="Q1" r:id="rId9" xr:uid="{ABB2003F-1E0D-4DE3-B941-A1C9955BCB3A}"/>
  </hyperlinks>
  <pageMargins left="0.7" right="0.7" top="0.75" bottom="0.75" header="0.3" footer="0.3"/>
  <pageSetup paperSize="9" orientation="portrait" horizontalDpi="4294967293" r:id="rId10"/>
  <ignoredErrors>
    <ignoredError sqref="N8:N17 J6:J8 J12 J15 J17 N31:N36 F8:F19 J31:J35" formula="1"/>
  </ignoredErrors>
  <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0015E-DEF9-4CFE-B48D-701F5ECD57F3}">
  <dimension ref="A1"/>
  <sheetViews>
    <sheetView workbookViewId="0">
      <selection activeCell="E10" sqref="E10"/>
    </sheetView>
  </sheetViews>
  <sheetFormatPr defaultRowHeight="12.75" x14ac:dyDescent="0.2"/>
  <cols>
    <col min="1" max="16384" width="9.140625" style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Data Visualisation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</dc:creator>
  <cp:lastModifiedBy>me</cp:lastModifiedBy>
  <dcterms:created xsi:type="dcterms:W3CDTF">2024-11-09T18:13:45Z</dcterms:created>
  <dcterms:modified xsi:type="dcterms:W3CDTF">2024-11-13T22:07:40Z</dcterms:modified>
</cp:coreProperties>
</file>