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6D8FC0CC-CFF2-4298-8753-4CD1ACD23DD3}" xr6:coauthVersionLast="47" xr6:coauthVersionMax="47" xr10:uidLastSave="{00000000-0000-0000-0000-000000000000}"/>
  <bookViews>
    <workbookView xWindow="1635" yWindow="1260" windowWidth="27165" windowHeight="14100" activeTab="1" xr2:uid="{1B36FFFD-D458-4A57-865C-CCAC07CF1B21}"/>
  </bookViews>
  <sheets>
    <sheet name="Main" sheetId="1" r:id="rId1"/>
    <sheet name="Financial Model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5" i="2" l="1"/>
  <c r="Y24" i="2"/>
  <c r="Y23" i="2"/>
  <c r="Y22" i="2"/>
  <c r="Z25" i="2"/>
  <c r="Z24" i="2"/>
  <c r="Z23" i="2"/>
  <c r="Z22" i="2"/>
  <c r="AA25" i="2"/>
  <c r="AA24" i="2"/>
  <c r="AA23" i="2"/>
  <c r="AA22" i="2"/>
  <c r="Z19" i="2"/>
  <c r="AA19" i="2"/>
  <c r="Y16" i="2"/>
  <c r="Y6" i="2"/>
  <c r="Y10" i="2" s="1"/>
  <c r="Y13" i="2" s="1"/>
  <c r="Y15" i="2" s="1"/>
  <c r="Z16" i="2"/>
  <c r="Z6" i="2"/>
  <c r="Z10" i="2" s="1"/>
  <c r="Z13" i="2" s="1"/>
  <c r="Z15" i="2" s="1"/>
  <c r="C38" i="1"/>
  <c r="C36" i="1"/>
  <c r="N90" i="2"/>
  <c r="N88" i="2"/>
  <c r="N87" i="2"/>
  <c r="N86" i="2"/>
  <c r="C40" i="1"/>
  <c r="C35" i="1"/>
  <c r="Y88" i="2" l="1"/>
  <c r="Z88" i="2"/>
  <c r="AA88" i="2"/>
  <c r="O20" i="2"/>
  <c r="N20" i="2"/>
  <c r="N22" i="2"/>
  <c r="N23" i="2"/>
  <c r="N24" i="2"/>
  <c r="N25" i="2"/>
  <c r="N16" i="2"/>
  <c r="N14" i="2"/>
  <c r="N12" i="2"/>
  <c r="N11" i="2"/>
  <c r="N9" i="2"/>
  <c r="N8" i="2"/>
  <c r="N7" i="2"/>
  <c r="N10" i="2" s="1"/>
  <c r="N6" i="2"/>
  <c r="N5" i="2"/>
  <c r="N4" i="2"/>
  <c r="N17" i="2"/>
  <c r="AA6" i="2"/>
  <c r="AA10" i="2" s="1"/>
  <c r="AA13" i="2" s="1"/>
  <c r="AA15" i="2" s="1"/>
  <c r="AA16" i="2" s="1"/>
  <c r="M90" i="2"/>
  <c r="M88" i="2"/>
  <c r="M87" i="2"/>
  <c r="M86" i="2"/>
  <c r="M19" i="2"/>
  <c r="I25" i="2"/>
  <c r="I24" i="2"/>
  <c r="I23" i="2"/>
  <c r="I22" i="2"/>
  <c r="I6" i="2"/>
  <c r="I10" i="2" s="1"/>
  <c r="I13" i="2" s="1"/>
  <c r="I15" i="2" s="1"/>
  <c r="I16" i="2" s="1"/>
  <c r="M20" i="2"/>
  <c r="M25" i="2"/>
  <c r="M24" i="2"/>
  <c r="M23" i="2"/>
  <c r="M22" i="2"/>
  <c r="M6" i="2"/>
  <c r="M10" i="2" s="1"/>
  <c r="M13" i="2" s="1"/>
  <c r="M15" i="2" s="1"/>
  <c r="M16" i="2" s="1"/>
  <c r="K90" i="2"/>
  <c r="L90" i="2"/>
  <c r="O90" i="2"/>
  <c r="P90" i="2"/>
  <c r="P88" i="2"/>
  <c r="L88" i="2"/>
  <c r="L87" i="2"/>
  <c r="P87" i="2"/>
  <c r="L86" i="2"/>
  <c r="P86" i="2"/>
  <c r="K88" i="2"/>
  <c r="O88" i="2"/>
  <c r="K25" i="2"/>
  <c r="K24" i="2"/>
  <c r="K23" i="2"/>
  <c r="K22" i="2"/>
  <c r="O19" i="2"/>
  <c r="L20" i="2"/>
  <c r="K6" i="2"/>
  <c r="K10" i="2" s="1"/>
  <c r="K13" i="2" s="1"/>
  <c r="K15" i="2" s="1"/>
  <c r="K16" i="2" s="1"/>
  <c r="P20" i="2"/>
  <c r="O25" i="2"/>
  <c r="O24" i="2"/>
  <c r="O23" i="2"/>
  <c r="O22" i="2"/>
  <c r="O6" i="2"/>
  <c r="O10" i="2" s="1"/>
  <c r="O13" i="2" s="1"/>
  <c r="O15" i="2" s="1"/>
  <c r="O16" i="2" s="1"/>
  <c r="N71" i="2"/>
  <c r="N70" i="2"/>
  <c r="N72" i="2" s="1"/>
  <c r="N39" i="2"/>
  <c r="N49" i="2" s="1"/>
  <c r="N62" i="2"/>
  <c r="N65" i="2" s="1"/>
  <c r="D11" i="1"/>
  <c r="D10" i="1"/>
  <c r="D9" i="1"/>
  <c r="D7" i="1"/>
  <c r="N13" i="2" l="1"/>
  <c r="N15" i="2" s="1"/>
  <c r="P71" i="2" l="1"/>
  <c r="C10" i="1" s="1"/>
  <c r="P70" i="2"/>
  <c r="C9" i="1" s="1"/>
  <c r="C11" i="1" s="1"/>
  <c r="P62" i="2"/>
  <c r="P65" i="2" s="1"/>
  <c r="P39" i="2"/>
  <c r="P49" i="2" s="1"/>
  <c r="P19" i="2"/>
  <c r="L6" i="2"/>
  <c r="L10" i="2" s="1"/>
  <c r="L13" i="2" s="1"/>
  <c r="L15" i="2" s="1"/>
  <c r="L16" i="2" s="1"/>
  <c r="P6" i="2"/>
  <c r="P10" i="2" s="1"/>
  <c r="C8" i="1"/>
  <c r="P67" i="2" l="1"/>
  <c r="P68" i="2" s="1"/>
  <c r="P72" i="2"/>
  <c r="P22" i="2"/>
  <c r="L22" i="2"/>
  <c r="L23" i="2"/>
  <c r="L24" i="2"/>
  <c r="P23" i="2"/>
  <c r="P13" i="2"/>
  <c r="L25" i="2"/>
  <c r="C12" i="1"/>
  <c r="P25" i="2" l="1"/>
  <c r="P15" i="2"/>
  <c r="P24" i="2" l="1"/>
  <c r="P16" i="2"/>
</calcChain>
</file>

<file path=xl/sharedStrings.xml><?xml version="1.0" encoding="utf-8"?>
<sst xmlns="http://schemas.openxmlformats.org/spreadsheetml/2006/main" count="143" uniqueCount="120">
  <si>
    <t>$SPOT</t>
  </si>
  <si>
    <t>Spotify Technology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</si>
  <si>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</si>
  <si>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</si>
  <si>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</si>
  <si>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</si>
  <si>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</si>
  <si>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</si>
  <si>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</si>
  <si>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</si>
  <si>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</si>
  <si>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</si>
  <si>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</si>
  <si>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CTO</t>
  </si>
  <si>
    <t>Chair</t>
  </si>
  <si>
    <t>Profile</t>
  </si>
  <si>
    <t>HQ</t>
  </si>
  <si>
    <t>Founded</t>
  </si>
  <si>
    <t>IPO</t>
  </si>
  <si>
    <t>DAU</t>
  </si>
  <si>
    <t>Employ.</t>
  </si>
  <si>
    <t>Update</t>
  </si>
  <si>
    <t>IR</t>
  </si>
  <si>
    <t>Key Events</t>
  </si>
  <si>
    <t>President Donald Trump uses podcasts, many Spotify based, as final surge for campaign. Proven effective</t>
  </si>
  <si>
    <t>Stockholm, Sweden</t>
  </si>
  <si>
    <t>Q224</t>
  </si>
  <si>
    <t>Q124</t>
  </si>
  <si>
    <t>Q423</t>
  </si>
  <si>
    <t>Q323</t>
  </si>
  <si>
    <t>Q223</t>
  </si>
  <si>
    <t>Q123</t>
  </si>
  <si>
    <t>Q324</t>
  </si>
  <si>
    <t>Q424</t>
  </si>
  <si>
    <t>Revenue</t>
  </si>
  <si>
    <t>COGS</t>
  </si>
  <si>
    <t>Gross Profit</t>
  </si>
  <si>
    <t>R&amp;D</t>
  </si>
  <si>
    <t>S&amp;M</t>
  </si>
  <si>
    <t>G&amp;A</t>
  </si>
  <si>
    <t>Operating Income</t>
  </si>
  <si>
    <t>Interest Income</t>
  </si>
  <si>
    <t>Interest Expense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</si>
  <si>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</si>
  <si>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</si>
  <si>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</si>
  <si>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</si>
  <si>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</si>
  <si>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</si>
  <si>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</si>
  <si>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</si>
  <si>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</si>
  <si>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</si>
  <si>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Non-Finance Metrics</t>
  </si>
  <si>
    <t>Non-Pay DAU</t>
  </si>
  <si>
    <t>Subscriber DAU</t>
  </si>
  <si>
    <t>MAU</t>
  </si>
  <si>
    <t>Employees</t>
  </si>
  <si>
    <t>Balance Sheet</t>
  </si>
  <si>
    <t>ROU</t>
  </si>
  <si>
    <t>PP&amp;E</t>
  </si>
  <si>
    <t>Goodwill+Intangibles</t>
  </si>
  <si>
    <t>Long-term Investments</t>
  </si>
  <si>
    <t>Restricted Cash</t>
  </si>
  <si>
    <t>Finance Lease</t>
  </si>
  <si>
    <t>Deferred Taxes</t>
  </si>
  <si>
    <t>Trade &amp; A/R</t>
  </si>
  <si>
    <t>Short-Term Investments</t>
  </si>
  <si>
    <t>OCA</t>
  </si>
  <si>
    <t>Assets</t>
  </si>
  <si>
    <t>Notes</t>
  </si>
  <si>
    <t>Lease Liabiltiies</t>
  </si>
  <si>
    <t>Accrued Expenses &amp; OLTL</t>
  </si>
  <si>
    <t>Provisions</t>
  </si>
  <si>
    <t>Trade &amp; A/P</t>
  </si>
  <si>
    <t>Liabilities</t>
  </si>
  <si>
    <t>S/E</t>
  </si>
  <si>
    <t>S/E+L</t>
  </si>
  <si>
    <t>Book Value</t>
  </si>
  <si>
    <t>Book Value per Share</t>
  </si>
  <si>
    <t>Share Price</t>
  </si>
  <si>
    <t>P/B</t>
  </si>
  <si>
    <t>P/S</t>
  </si>
  <si>
    <t>EV/S</t>
  </si>
  <si>
    <t>P/E</t>
  </si>
  <si>
    <t>EV/E</t>
  </si>
  <si>
    <t>Cashflow</t>
  </si>
  <si>
    <t>Deferred Revenue</t>
  </si>
  <si>
    <t>Derivative Liabilities</t>
  </si>
  <si>
    <t xml:space="preserve">Accrued Expenses </t>
  </si>
  <si>
    <t>Valuation Metrics</t>
  </si>
  <si>
    <t>FY18</t>
  </si>
  <si>
    <t>FY19</t>
  </si>
  <si>
    <t>FY20</t>
  </si>
  <si>
    <t>FY21</t>
  </si>
  <si>
    <t>FY22</t>
  </si>
  <si>
    <t>FY23</t>
  </si>
  <si>
    <t>FY24</t>
  </si>
  <si>
    <t>FY26</t>
  </si>
  <si>
    <t>FY25</t>
  </si>
  <si>
    <t>FY27</t>
  </si>
  <si>
    <t>FY28</t>
  </si>
  <si>
    <t>FY29</t>
  </si>
  <si>
    <t>FY30</t>
  </si>
  <si>
    <t>Q422</t>
  </si>
  <si>
    <t>Q322</t>
  </si>
  <si>
    <t>Q222</t>
  </si>
  <si>
    <t>Q122</t>
  </si>
  <si>
    <t>Q421</t>
  </si>
  <si>
    <t>Q121</t>
  </si>
  <si>
    <t>Q221</t>
  </si>
  <si>
    <t>Q321</t>
  </si>
  <si>
    <t>CFFO</t>
  </si>
  <si>
    <t>CapEx</t>
  </si>
  <si>
    <t>FCF</t>
  </si>
  <si>
    <t>Price / FCF</t>
  </si>
  <si>
    <t>P/FCF</t>
  </si>
  <si>
    <t>FCF per Share</t>
  </si>
  <si>
    <t>(EUR Millions)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</si>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</sst>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x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4" xfId="0" applyFont="1" applyFill="1" applyBorder="1"/>
    <xf numFmtId="0" fontId="2" fillId="2" borderId="6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3" fontId="1" fillId="0" borderId="0" xfId="0" applyNumberFormat="1" applyFont="1"/>
    <xf numFmtId="3" fontId="1" fillId="0" borderId="7" xfId="0" applyNumberFormat="1" applyFont="1" applyBorder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7" fontId="2" fillId="2" borderId="4" xfId="0" applyNumberFormat="1" applyFont="1" applyFill="1" applyBorder="1" applyAlignment="1">
      <alignment horizontal="center"/>
    </xf>
    <xf numFmtId="14" fontId="4" fillId="0" borderId="0" xfId="0" applyNumberFormat="1" applyFont="1" applyAlignment="1">
      <alignment horizontal="right"/>
    </xf>
    <xf numFmtId="17" fontId="4" fillId="0" borderId="0" xfId="0" applyNumberFormat="1" applyFont="1" applyAlignment="1">
      <alignment horizontal="right"/>
    </xf>
    <xf numFmtId="2" fontId="1" fillId="0" borderId="0" xfId="0" applyNumberFormat="1" applyFont="1"/>
    <xf numFmtId="3" fontId="2" fillId="0" borderId="0" xfId="0" applyNumberFormat="1" applyFont="1"/>
    <xf numFmtId="9" fontId="1" fillId="0" borderId="0" xfId="0" applyNumberFormat="1" applyFont="1"/>
    <xf numFmtId="0" fontId="6" fillId="0" borderId="0" xfId="1" applyFont="1" applyAlignment="1">
      <alignment horizontal="right"/>
    </xf>
    <xf numFmtId="9" fontId="2" fillId="0" borderId="0" xfId="0" applyNumberFormat="1" applyFont="1"/>
    <xf numFmtId="0" fontId="7" fillId="0" borderId="0" xfId="0" applyFont="1"/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164" fontId="1" fillId="4" borderId="0" xfId="0" applyNumberFormat="1" applyFont="1" applyFill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15" fontId="1" fillId="4" borderId="5" xfId="0" applyNumberFormat="1" applyFont="1" applyFill="1" applyBorder="1" applyAlignment="1">
      <alignment horizontal="center"/>
    </xf>
    <xf numFmtId="16" fontId="4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9" fontId="1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</xdr:colOff>
      <xdr:row>0</xdr:row>
      <xdr:rowOff>66675</xdr:rowOff>
    </xdr:from>
    <xdr:to>
      <xdr:col>4</xdr:col>
      <xdr:colOff>542925</xdr:colOff>
      <xdr:row>3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0B647B-7B00-8A00-2B33-2EF80EF2E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66675"/>
          <a:ext cx="46672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0</xdr:row>
      <xdr:rowOff>9525</xdr:rowOff>
    </xdr:from>
    <xdr:to>
      <xdr:col>16</xdr:col>
      <xdr:colOff>19050</xdr:colOff>
      <xdr:row>108</xdr:row>
      <xdr:rowOff>123825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8C9D80C-E06C-A389-9495-968114510396}"/>
            </a:ext>
          </a:extLst>
        </xdr:cNvPr>
        <xdr:cNvCxnSpPr/>
      </xdr:nvCxnSpPr>
      <xdr:spPr>
        <a:xfrm>
          <a:off x="10439400" y="9525"/>
          <a:ext cx="0" cy="176022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e\My%20Drive\Stocks\Overview%20-%20Tech.xlsx" TargetMode="External"/><Relationship Id="rId1" Type="http://schemas.openxmlformats.org/officeDocument/2006/relationships/externalLinkPath" Target="Overview%20-%20Te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Currencies"/>
    </sheetNames>
    <sheetDataSet>
      <sheetData sheetId="0"/>
      <sheetData sheetId="1">
        <row r="4">
          <cell r="C4">
            <v>1.0900000000000001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ix?doc=/Archives/edgar/data/0001639920/000163992024000004/ck0001639920-20231231.htm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sec.gov/Archives/edgar/data/1639920/000163992024000007/spot-20240331x6xk.htm" TargetMode="External"/><Relationship Id="rId1" Type="http://schemas.openxmlformats.org/officeDocument/2006/relationships/hyperlink" Target="https://www.sec.gov/Archives/edgar/data/1639920/000163992024000009/spot-20240630x6xk.ht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sec.gov/Archives/edgar/data/1639920/000163992023000013/spot-20230930x6xk.htm" TargetMode="External"/><Relationship Id="rId4" Type="http://schemas.openxmlformats.org/officeDocument/2006/relationships/hyperlink" Target="https://www.sec.gov/ix?doc=/Archives/edgar/data/0001639920/000163992024000004/ck0001639920-2023123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8B0A2-1082-4847-9887-54638A561483}">
  <dimension ref="B2:Q40"/>
  <sheetViews>
    <sheetView workbookViewId="0">
      <selection activeCell="J26" sqref="J26"/>
    </sheetView>
  </sheetViews>
  <sheetFormatPr defaultRowHeight="12.75" x14ac:dyDescent="0.2"/>
  <cols>
    <col min="1" max="16384" width="9.140625" style="1"/>
  </cols>
  <sheetData>
    <row r="2" spans="2:17" x14ac:dyDescent="0.2">
      <c r="B2" s="2" t="s">
        <v>0</v>
      </c>
    </row>
    <row r="3" spans="2:17" x14ac:dyDescent="0.2">
      <c r="B3" s="2" t="s">
        <v>1</v>
      </c>
    </row>
    <row r="5" spans="2:17" x14ac:dyDescent="0.2">
      <c r="B5" s="33" t="s">
        <v>2</v>
      </c>
      <c r="C5" s="34"/>
      <c r="D5" s="35"/>
      <c r="G5" s="33" t="s">
        <v>23</v>
      </c>
      <c r="H5" s="34"/>
      <c r="I5" s="34"/>
      <c r="J5" s="34"/>
      <c r="K5" s="34"/>
      <c r="L5" s="34"/>
      <c r="M5" s="34"/>
      <c r="N5" s="34"/>
      <c r="O5" s="34"/>
      <c r="P5" s="34"/>
      <c r="Q5" s="35"/>
    </row>
    <row r="6" spans="2:17" x14ac:dyDescent="0.2">
      <c r="B6" s="3" t="s">
        <v>3</v>
      </c>
      <c r="C6" s="1">
        <v>400.68</v>
      </c>
      <c r="D6" s="15"/>
      <c r="G6" s="13"/>
      <c r="H6" s="6"/>
      <c r="I6" s="6"/>
      <c r="J6" s="6"/>
      <c r="K6" s="6"/>
      <c r="L6" s="6"/>
      <c r="M6" s="6"/>
      <c r="N6" s="6"/>
      <c r="O6" s="6"/>
      <c r="P6" s="6"/>
      <c r="Q6" s="7"/>
    </row>
    <row r="7" spans="2:17" x14ac:dyDescent="0.2">
      <c r="B7" s="3" t="s">
        <v>4</v>
      </c>
      <c r="C7" s="1">
        <v>201</v>
      </c>
      <c r="D7" s="15" t="str">
        <f>$C$30</f>
        <v>Q224</v>
      </c>
      <c r="G7" s="13"/>
      <c r="H7" s="6"/>
      <c r="I7" s="6"/>
      <c r="J7" s="6"/>
      <c r="K7" s="6"/>
      <c r="L7" s="6"/>
      <c r="M7" s="6"/>
      <c r="N7" s="6"/>
      <c r="O7" s="6"/>
      <c r="P7" s="6"/>
      <c r="Q7" s="7"/>
    </row>
    <row r="8" spans="2:17" x14ac:dyDescent="0.2">
      <c r="B8" s="3" t="s">
        <v>5</v>
      </c>
      <c r="C8" s="17">
        <f>C6*C7</f>
        <v>80536.680000000008</v>
      </c>
      <c r="D8" s="15"/>
      <c r="G8" s="13"/>
      <c r="H8" s="6"/>
      <c r="I8" s="6"/>
      <c r="J8" s="6"/>
      <c r="K8" s="6"/>
      <c r="L8" s="6"/>
      <c r="M8" s="6"/>
      <c r="N8" s="6"/>
      <c r="O8" s="6"/>
      <c r="P8" s="6"/>
      <c r="Q8" s="7"/>
    </row>
    <row r="9" spans="2:17" x14ac:dyDescent="0.2">
      <c r="B9" s="3" t="s">
        <v>6</v>
      </c>
      <c r="C9" s="17">
        <f>'Financial Model'!P70</f>
        <v>7329</v>
      </c>
      <c r="D9" s="15" t="str">
        <f t="shared" ref="D9:D11" si="0">$C$30</f>
        <v>Q224</v>
      </c>
      <c r="G9" s="13"/>
      <c r="H9" s="6"/>
      <c r="I9" s="6"/>
      <c r="J9" s="6"/>
      <c r="K9" s="6"/>
      <c r="L9" s="6"/>
      <c r="M9" s="6"/>
      <c r="N9" s="6"/>
      <c r="O9" s="6"/>
      <c r="P9" s="6"/>
      <c r="Q9" s="7"/>
    </row>
    <row r="10" spans="2:17" x14ac:dyDescent="0.2">
      <c r="B10" s="3" t="s">
        <v>7</v>
      </c>
      <c r="C10" s="17">
        <f>'Financial Model'!P71</f>
        <v>1370</v>
      </c>
      <c r="D10" s="15" t="str">
        <f t="shared" si="0"/>
        <v>Q224</v>
      </c>
      <c r="G10" s="22">
        <v>45566</v>
      </c>
      <c r="H10" s="6" t="s">
        <v>24</v>
      </c>
      <c r="I10" s="6"/>
      <c r="J10" s="6"/>
      <c r="K10" s="6"/>
      <c r="L10" s="6"/>
      <c r="M10" s="6"/>
      <c r="N10" s="6"/>
      <c r="O10" s="6"/>
      <c r="P10" s="6"/>
      <c r="Q10" s="7"/>
    </row>
    <row r="11" spans="2:17" x14ac:dyDescent="0.2">
      <c r="B11" s="3" t="s">
        <v>8</v>
      </c>
      <c r="C11" s="17">
        <f>C9-C10</f>
        <v>5959</v>
      </c>
      <c r="D11" s="15" t="str">
        <f t="shared" si="0"/>
        <v>Q224</v>
      </c>
      <c r="G11" s="13"/>
      <c r="H11" s="6"/>
      <c r="I11" s="6"/>
      <c r="J11" s="6"/>
      <c r="K11" s="6"/>
      <c r="L11" s="6"/>
      <c r="M11" s="6"/>
      <c r="N11" s="6"/>
      <c r="O11" s="6"/>
      <c r="P11" s="6"/>
      <c r="Q11" s="7"/>
    </row>
    <row r="12" spans="2:17" x14ac:dyDescent="0.2">
      <c r="B12" s="4" t="s">
        <v>9</v>
      </c>
      <c r="C12" s="18">
        <f>C8-C11</f>
        <v>74577.680000000008</v>
      </c>
      <c r="D12" s="16"/>
      <c r="G12" s="13"/>
      <c r="H12" s="6"/>
      <c r="I12" s="6"/>
      <c r="J12" s="6"/>
      <c r="K12" s="6"/>
      <c r="L12" s="6"/>
      <c r="M12" s="6"/>
      <c r="N12" s="6"/>
      <c r="O12" s="6"/>
      <c r="P12" s="6"/>
      <c r="Q12" s="7"/>
    </row>
    <row r="13" spans="2:17" x14ac:dyDescent="0.2">
      <c r="G13" s="13"/>
      <c r="H13" s="6"/>
      <c r="I13" s="6"/>
      <c r="J13" s="6"/>
      <c r="K13" s="6"/>
      <c r="L13" s="6"/>
      <c r="M13" s="6"/>
      <c r="N13" s="6"/>
      <c r="O13" s="6"/>
      <c r="P13" s="6"/>
      <c r="Q13" s="7"/>
    </row>
    <row r="14" spans="2:17" x14ac:dyDescent="0.2">
      <c r="G14" s="13"/>
      <c r="H14" s="6"/>
      <c r="I14" s="6"/>
      <c r="J14" s="6"/>
      <c r="K14" s="6"/>
      <c r="L14" s="6"/>
      <c r="M14" s="6"/>
      <c r="N14" s="6"/>
      <c r="O14" s="6"/>
      <c r="P14" s="6"/>
      <c r="Q14" s="7"/>
    </row>
    <row r="15" spans="2:17" x14ac:dyDescent="0.2">
      <c r="B15" s="33" t="s">
        <v>10</v>
      </c>
      <c r="C15" s="34"/>
      <c r="D15" s="35"/>
      <c r="G15" s="13"/>
      <c r="H15" s="6"/>
      <c r="I15" s="6"/>
      <c r="J15" s="6"/>
      <c r="K15" s="6"/>
      <c r="L15" s="6"/>
      <c r="M15" s="6"/>
      <c r="N15" s="6"/>
      <c r="O15" s="6"/>
      <c r="P15" s="6"/>
      <c r="Q15" s="7"/>
    </row>
    <row r="16" spans="2:17" x14ac:dyDescent="0.2">
      <c r="B16" s="5" t="s">
        <v>11</v>
      </c>
      <c r="C16" s="36"/>
      <c r="D16" s="37"/>
      <c r="G16" s="13"/>
      <c r="H16" s="6"/>
      <c r="I16" s="6"/>
      <c r="J16" s="6"/>
      <c r="K16" s="6"/>
      <c r="L16" s="6"/>
      <c r="M16" s="6"/>
      <c r="N16" s="6"/>
      <c r="O16" s="6"/>
      <c r="P16" s="6"/>
      <c r="Q16" s="7"/>
    </row>
    <row r="17" spans="2:17" x14ac:dyDescent="0.2">
      <c r="B17" s="5" t="s">
        <v>12</v>
      </c>
      <c r="C17" s="6"/>
      <c r="D17" s="7"/>
      <c r="G17" s="13"/>
      <c r="H17" s="6"/>
      <c r="I17" s="6"/>
      <c r="J17" s="6"/>
      <c r="K17" s="6"/>
      <c r="L17" s="6"/>
      <c r="M17" s="6"/>
      <c r="N17" s="6"/>
      <c r="O17" s="6"/>
      <c r="P17" s="6"/>
      <c r="Q17" s="7"/>
    </row>
    <row r="18" spans="2:17" x14ac:dyDescent="0.2">
      <c r="B18" s="5" t="s">
        <v>13</v>
      </c>
      <c r="C18" s="6"/>
      <c r="D18" s="7"/>
      <c r="G18" s="13"/>
      <c r="H18" s="6"/>
      <c r="I18" s="6"/>
      <c r="J18" s="6"/>
      <c r="K18" s="6"/>
      <c r="L18" s="6"/>
      <c r="M18" s="6"/>
      <c r="N18" s="6"/>
      <c r="O18" s="6"/>
      <c r="P18" s="6"/>
      <c r="Q18" s="7"/>
    </row>
    <row r="19" spans="2:17" x14ac:dyDescent="0.2">
      <c r="B19" s="8" t="s">
        <v>14</v>
      </c>
      <c r="C19" s="9"/>
      <c r="D19" s="10"/>
      <c r="G19" s="13"/>
      <c r="H19" s="6"/>
      <c r="I19" s="6"/>
      <c r="J19" s="6"/>
      <c r="K19" s="6"/>
      <c r="L19" s="6"/>
      <c r="M19" s="6"/>
      <c r="N19" s="6"/>
      <c r="O19" s="6"/>
      <c r="P19" s="6"/>
      <c r="Q19" s="7"/>
    </row>
    <row r="20" spans="2:17" x14ac:dyDescent="0.2">
      <c r="G20" s="13"/>
      <c r="H20" s="6"/>
      <c r="I20" s="6"/>
      <c r="J20" s="6"/>
      <c r="K20" s="6"/>
      <c r="L20" s="6"/>
      <c r="M20" s="6"/>
      <c r="N20" s="6"/>
      <c r="O20" s="6"/>
      <c r="P20" s="6"/>
      <c r="Q20" s="7"/>
    </row>
    <row r="21" spans="2:17" x14ac:dyDescent="0.2">
      <c r="G21" s="13"/>
      <c r="H21" s="6"/>
      <c r="I21" s="6"/>
      <c r="J21" s="6"/>
      <c r="K21" s="6"/>
      <c r="L21" s="6"/>
      <c r="M21" s="6"/>
      <c r="N21" s="6"/>
      <c r="O21" s="6"/>
      <c r="P21" s="6"/>
      <c r="Q21" s="7"/>
    </row>
    <row r="22" spans="2:17" x14ac:dyDescent="0.2">
      <c r="B22" s="33" t="s">
        <v>15</v>
      </c>
      <c r="C22" s="34"/>
      <c r="D22" s="35"/>
      <c r="G22" s="13"/>
      <c r="H22" s="6"/>
      <c r="I22" s="6"/>
      <c r="J22" s="6"/>
      <c r="K22" s="6"/>
      <c r="L22" s="6"/>
      <c r="M22" s="6"/>
      <c r="N22" s="6"/>
      <c r="O22" s="6"/>
      <c r="P22" s="6"/>
      <c r="Q22" s="7"/>
    </row>
    <row r="23" spans="2:17" x14ac:dyDescent="0.2">
      <c r="B23" s="13" t="s">
        <v>16</v>
      </c>
      <c r="C23" s="36" t="s">
        <v>25</v>
      </c>
      <c r="D23" s="37"/>
      <c r="G23" s="13"/>
      <c r="H23" s="6"/>
      <c r="I23" s="6"/>
      <c r="J23" s="6"/>
      <c r="K23" s="6"/>
      <c r="L23" s="6"/>
      <c r="M23" s="6"/>
      <c r="N23" s="6"/>
      <c r="O23" s="6"/>
      <c r="P23" s="6"/>
      <c r="Q23" s="7"/>
    </row>
    <row r="24" spans="2:17" x14ac:dyDescent="0.2">
      <c r="B24" s="13" t="s">
        <v>17</v>
      </c>
      <c r="C24" s="36">
        <v>2006</v>
      </c>
      <c r="D24" s="37"/>
      <c r="G24" s="13"/>
      <c r="H24" s="6"/>
      <c r="I24" s="6"/>
      <c r="J24" s="6"/>
      <c r="K24" s="6"/>
      <c r="L24" s="6"/>
      <c r="M24" s="6"/>
      <c r="N24" s="6"/>
      <c r="O24" s="6"/>
      <c r="P24" s="6"/>
      <c r="Q24" s="7"/>
    </row>
    <row r="25" spans="2:17" x14ac:dyDescent="0.2">
      <c r="B25" s="13" t="s">
        <v>18</v>
      </c>
      <c r="C25" s="36"/>
      <c r="D25" s="37"/>
      <c r="G25" s="13"/>
      <c r="H25" s="6"/>
      <c r="I25" s="6"/>
      <c r="J25" s="6"/>
      <c r="K25" s="6"/>
      <c r="L25" s="6"/>
      <c r="M25" s="6"/>
      <c r="N25" s="6"/>
      <c r="O25" s="6"/>
      <c r="P25" s="6"/>
      <c r="Q25" s="7"/>
    </row>
    <row r="26" spans="2:17" x14ac:dyDescent="0.2">
      <c r="B26" s="13"/>
      <c r="C26" s="36"/>
      <c r="D26" s="37"/>
      <c r="G26" s="13"/>
      <c r="H26" s="6"/>
      <c r="I26" s="6"/>
      <c r="J26" s="6"/>
      <c r="K26" s="6"/>
      <c r="L26" s="6"/>
      <c r="M26" s="6"/>
      <c r="N26" s="6"/>
      <c r="O26" s="6"/>
      <c r="P26" s="6"/>
      <c r="Q26" s="7"/>
    </row>
    <row r="27" spans="2:17" x14ac:dyDescent="0.2">
      <c r="B27" s="13" t="s">
        <v>19</v>
      </c>
      <c r="C27" s="36"/>
      <c r="D27" s="37"/>
      <c r="G27" s="13"/>
      <c r="H27" s="6"/>
      <c r="I27" s="6"/>
      <c r="J27" s="6"/>
      <c r="K27" s="6"/>
      <c r="L27" s="6"/>
      <c r="M27" s="6"/>
      <c r="N27" s="6"/>
      <c r="O27" s="6"/>
      <c r="P27" s="6"/>
      <c r="Q27" s="7"/>
    </row>
    <row r="28" spans="2:17" x14ac:dyDescent="0.2">
      <c r="B28" s="13" t="s">
        <v>20</v>
      </c>
      <c r="C28" s="36"/>
      <c r="D28" s="37"/>
      <c r="G28" s="13"/>
      <c r="H28" s="6"/>
      <c r="I28" s="6"/>
      <c r="J28" s="6"/>
      <c r="K28" s="6"/>
      <c r="L28" s="6"/>
      <c r="M28" s="6"/>
      <c r="N28" s="6"/>
      <c r="O28" s="6"/>
      <c r="P28" s="6"/>
      <c r="Q28" s="7"/>
    </row>
    <row r="29" spans="2:17" x14ac:dyDescent="0.2">
      <c r="B29" s="13"/>
      <c r="C29" s="36"/>
      <c r="D29" s="37"/>
      <c r="G29" s="13"/>
      <c r="H29" s="6"/>
      <c r="I29" s="6"/>
      <c r="J29" s="6"/>
      <c r="K29" s="6"/>
      <c r="L29" s="6"/>
      <c r="M29" s="6"/>
      <c r="N29" s="6"/>
      <c r="O29" s="6"/>
      <c r="P29" s="6"/>
      <c r="Q29" s="7"/>
    </row>
    <row r="30" spans="2:17" x14ac:dyDescent="0.2">
      <c r="B30" s="13" t="s">
        <v>21</v>
      </c>
      <c r="C30" s="11" t="s">
        <v>26</v>
      </c>
      <c r="D30" s="40">
        <v>45480</v>
      </c>
      <c r="G30" s="13"/>
      <c r="H30" s="6"/>
      <c r="I30" s="6"/>
      <c r="J30" s="6"/>
      <c r="K30" s="6"/>
      <c r="L30" s="6"/>
      <c r="M30" s="6"/>
      <c r="N30" s="6"/>
      <c r="O30" s="6"/>
      <c r="P30" s="6"/>
      <c r="Q30" s="7"/>
    </row>
    <row r="31" spans="2:17" x14ac:dyDescent="0.2">
      <c r="B31" s="14" t="s">
        <v>22</v>
      </c>
      <c r="C31" s="31"/>
      <c r="D31" s="32"/>
      <c r="G31" s="14"/>
      <c r="H31" s="9"/>
      <c r="I31" s="9"/>
      <c r="J31" s="9"/>
      <c r="K31" s="9"/>
      <c r="L31" s="9"/>
      <c r="M31" s="9"/>
      <c r="N31" s="9"/>
      <c r="O31" s="9"/>
      <c r="P31" s="9"/>
      <c r="Q31" s="10"/>
    </row>
    <row r="34" spans="2:4" x14ac:dyDescent="0.2">
      <c r="B34" s="33" t="s">
        <v>90</v>
      </c>
      <c r="C34" s="34"/>
      <c r="D34" s="35"/>
    </row>
    <row r="35" spans="2:4" x14ac:dyDescent="0.2">
      <c r="B35" s="13" t="s">
        <v>81</v>
      </c>
      <c r="C35" s="38">
        <f>C6/('Financial Model'!P17*[1]Currencies!$C$4)</f>
        <v>1.8383569335605636</v>
      </c>
      <c r="D35" s="39"/>
    </row>
    <row r="36" spans="2:4" x14ac:dyDescent="0.2">
      <c r="B36" s="13" t="s">
        <v>82</v>
      </c>
      <c r="C36" s="38">
        <f>C8/(SUM('Financial Model'!M6:P6)*[1]Currencies!$C$4)</f>
        <v>18.559875002592591</v>
      </c>
      <c r="D36" s="39"/>
    </row>
    <row r="37" spans="2:4" x14ac:dyDescent="0.2">
      <c r="B37" s="13" t="s">
        <v>83</v>
      </c>
      <c r="C37" s="11"/>
      <c r="D37" s="12"/>
    </row>
    <row r="38" spans="2:4" x14ac:dyDescent="0.2">
      <c r="B38" s="13" t="s">
        <v>84</v>
      </c>
      <c r="C38" s="38">
        <f>C6/(SUM('Financial Model'!M16:P16)*[1]Currencies!$C$4)</f>
        <v>157.14824811618186</v>
      </c>
      <c r="D38" s="39"/>
    </row>
    <row r="39" spans="2:4" x14ac:dyDescent="0.2">
      <c r="B39" s="13" t="s">
        <v>85</v>
      </c>
      <c r="C39" s="11"/>
      <c r="D39" s="12"/>
    </row>
    <row r="40" spans="2:4" x14ac:dyDescent="0.2">
      <c r="B40" s="13" t="s">
        <v>116</v>
      </c>
      <c r="C40" s="38">
        <f>C6/('Financial Model'!P90*[1]Currencies!$C$4)</f>
        <v>150.00868945321099</v>
      </c>
      <c r="D40" s="39"/>
    </row>
  </sheetData>
  <mergeCells count="18">
    <mergeCell ref="B34:D34"/>
    <mergeCell ref="C35:D35"/>
    <mergeCell ref="C40:D40"/>
    <mergeCell ref="C36:D36"/>
    <mergeCell ref="C38:D38"/>
    <mergeCell ref="C31:D31"/>
    <mergeCell ref="G5:Q5"/>
    <mergeCell ref="C25:D25"/>
    <mergeCell ref="C26:D26"/>
    <mergeCell ref="C27:D27"/>
    <mergeCell ref="C28:D28"/>
    <mergeCell ref="C29:D29"/>
    <mergeCell ref="B5:D5"/>
    <mergeCell ref="B15:D15"/>
    <mergeCell ref="B22:D22"/>
    <mergeCell ref="C16:D16"/>
    <mergeCell ref="C23:D23"/>
    <mergeCell ref="C24:D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2AD3C-DB9E-4895-A895-31060AA5F6CC}">
  <dimension ref="B1:AH91"/>
  <sheetViews>
    <sheetView tabSelected="1"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T13" sqref="T13"/>
    </sheetView>
  </sheetViews>
  <sheetFormatPr defaultRowHeight="12.75" x14ac:dyDescent="0.2"/>
  <cols>
    <col min="1" max="1" width="4.28515625" style="1" customWidth="1"/>
    <col min="2" max="2" width="24" style="1" bestFit="1" customWidth="1"/>
    <col min="3" max="16384" width="9.140625" style="1"/>
  </cols>
  <sheetData>
    <row r="1" spans="2:34" s="21" customFormat="1" x14ac:dyDescent="0.2">
      <c r="B1" s="42" t="s">
        <v>118</v>
      </c>
      <c r="C1" s="21" t="s">
        <v>109</v>
      </c>
      <c r="D1" s="21" t="s">
        <v>110</v>
      </c>
      <c r="E1" s="21" t="s">
        <v>111</v>
      </c>
      <c r="F1" s="21" t="s">
        <v>108</v>
      </c>
      <c r="G1" s="21" t="s">
        <v>107</v>
      </c>
      <c r="H1" s="21" t="s">
        <v>106</v>
      </c>
      <c r="I1" s="21" t="s">
        <v>105</v>
      </c>
      <c r="J1" s="21" t="s">
        <v>104</v>
      </c>
      <c r="K1" s="21" t="s">
        <v>31</v>
      </c>
      <c r="L1" s="21" t="s">
        <v>30</v>
      </c>
      <c r="M1" s="28" t="s">
        <v>29</v>
      </c>
      <c r="N1" s="28" t="s">
        <v>28</v>
      </c>
      <c r="O1" s="28" t="s">
        <v>27</v>
      </c>
      <c r="P1" s="28" t="s">
        <v>26</v>
      </c>
      <c r="Q1" s="21" t="s">
        <v>32</v>
      </c>
      <c r="R1" s="21" t="s">
        <v>33</v>
      </c>
      <c r="V1" s="21" t="s">
        <v>91</v>
      </c>
      <c r="W1" s="21" t="s">
        <v>92</v>
      </c>
      <c r="X1" s="21" t="s">
        <v>93</v>
      </c>
      <c r="Y1" s="21" t="s">
        <v>94</v>
      </c>
      <c r="Z1" s="21" t="s">
        <v>95</v>
      </c>
      <c r="AA1" s="28" t="s">
        <v>96</v>
      </c>
      <c r="AB1" s="21" t="s">
        <v>97</v>
      </c>
      <c r="AC1" s="21" t="s">
        <v>99</v>
      </c>
      <c r="AD1" s="21" t="s">
        <v>98</v>
      </c>
      <c r="AE1" s="21" t="s">
        <v>100</v>
      </c>
      <c r="AF1" s="21" t="s">
        <v>101</v>
      </c>
      <c r="AG1" s="21" t="s">
        <v>102</v>
      </c>
      <c r="AH1" s="21" t="s">
        <v>103</v>
      </c>
    </row>
    <row r="2" spans="2:34" s="20" customFormat="1" x14ac:dyDescent="0.2">
      <c r="B2" s="19"/>
      <c r="I2" s="23">
        <v>44834</v>
      </c>
      <c r="K2" s="23">
        <v>45016</v>
      </c>
      <c r="L2" s="23">
        <v>45107</v>
      </c>
      <c r="M2" s="23">
        <v>45199</v>
      </c>
      <c r="N2" s="23">
        <v>45291</v>
      </c>
      <c r="O2" s="23">
        <v>45382</v>
      </c>
      <c r="P2" s="23">
        <v>45473</v>
      </c>
      <c r="Y2" s="23">
        <v>44561</v>
      </c>
      <c r="Z2" s="23">
        <v>44926</v>
      </c>
      <c r="AA2" s="23">
        <v>45291</v>
      </c>
    </row>
    <row r="3" spans="2:34" s="20" customFormat="1" x14ac:dyDescent="0.2">
      <c r="B3" s="19"/>
      <c r="M3" s="41">
        <v>45590</v>
      </c>
      <c r="N3" s="41">
        <v>45330</v>
      </c>
      <c r="O3" s="41">
        <v>45406</v>
      </c>
      <c r="P3" s="24">
        <v>45474</v>
      </c>
      <c r="AA3" s="41">
        <v>45330</v>
      </c>
    </row>
    <row r="4" spans="2:34" s="26" customFormat="1" x14ac:dyDescent="0.2">
      <c r="B4" s="26" t="s">
        <v>34</v>
      </c>
      <c r="I4" s="26">
        <v>3036</v>
      </c>
      <c r="K4" s="26">
        <v>3042</v>
      </c>
      <c r="L4" s="26">
        <v>3177</v>
      </c>
      <c r="M4" s="26">
        <v>3357</v>
      </c>
      <c r="N4" s="26">
        <f>AA4-SUM(K4:M4)</f>
        <v>3671</v>
      </c>
      <c r="O4" s="26">
        <v>3636</v>
      </c>
      <c r="P4" s="26">
        <v>3807</v>
      </c>
      <c r="Y4" s="26">
        <v>9668</v>
      </c>
      <c r="Z4" s="26">
        <v>11727</v>
      </c>
      <c r="AA4" s="26">
        <v>13247</v>
      </c>
    </row>
    <row r="5" spans="2:34" s="17" customFormat="1" x14ac:dyDescent="0.2">
      <c r="B5" s="17" t="s">
        <v>35</v>
      </c>
      <c r="I5" s="17">
        <v>2286</v>
      </c>
      <c r="K5" s="17">
        <v>2276</v>
      </c>
      <c r="L5" s="17">
        <v>2411</v>
      </c>
      <c r="M5" s="17">
        <v>2472</v>
      </c>
      <c r="N5" s="17">
        <f>AA5-SUM(K5:M5)</f>
        <v>2691</v>
      </c>
      <c r="O5" s="17">
        <v>2632</v>
      </c>
      <c r="P5" s="17">
        <v>2695</v>
      </c>
      <c r="Y5" s="17">
        <v>7077</v>
      </c>
      <c r="Z5" s="17">
        <v>8801</v>
      </c>
      <c r="AA5" s="17">
        <v>9850</v>
      </c>
    </row>
    <row r="6" spans="2:34" s="26" customFormat="1" x14ac:dyDescent="0.2">
      <c r="B6" s="26" t="s">
        <v>36</v>
      </c>
      <c r="I6" s="26">
        <f>I4-I5</f>
        <v>750</v>
      </c>
      <c r="K6" s="26">
        <f>K4-K5</f>
        <v>766</v>
      </c>
      <c r="L6" s="26">
        <f>L4-L5</f>
        <v>766</v>
      </c>
      <c r="M6" s="26">
        <f>M4-M5</f>
        <v>885</v>
      </c>
      <c r="N6" s="26">
        <f>N4-N5</f>
        <v>980</v>
      </c>
      <c r="O6" s="26">
        <f>O4-O5</f>
        <v>1004</v>
      </c>
      <c r="P6" s="26">
        <f>P4-P5</f>
        <v>1112</v>
      </c>
      <c r="Y6" s="26">
        <f>Y4-Y5</f>
        <v>2591</v>
      </c>
      <c r="Z6" s="26">
        <f>Z4-Z5</f>
        <v>2926</v>
      </c>
      <c r="AA6" s="26">
        <f>AA4-AA5</f>
        <v>3397</v>
      </c>
    </row>
    <row r="7" spans="2:34" s="17" customFormat="1" x14ac:dyDescent="0.2">
      <c r="B7" s="17" t="s">
        <v>37</v>
      </c>
      <c r="I7" s="17">
        <v>386</v>
      </c>
      <c r="K7" s="17">
        <v>435</v>
      </c>
      <c r="L7" s="17">
        <v>453</v>
      </c>
      <c r="M7" s="17">
        <v>369</v>
      </c>
      <c r="N7" s="17">
        <f t="shared" ref="N7:N9" si="0">AA7-SUM(K7:M7)</f>
        <v>468</v>
      </c>
      <c r="O7" s="17">
        <v>389</v>
      </c>
      <c r="P7" s="17">
        <v>379</v>
      </c>
      <c r="Y7" s="17">
        <v>912</v>
      </c>
      <c r="Z7" s="17">
        <v>1387</v>
      </c>
      <c r="AA7" s="17">
        <v>1725</v>
      </c>
    </row>
    <row r="8" spans="2:34" s="17" customFormat="1" x14ac:dyDescent="0.2">
      <c r="B8" s="17" t="s">
        <v>38</v>
      </c>
      <c r="I8" s="17">
        <v>432</v>
      </c>
      <c r="K8" s="17">
        <v>347</v>
      </c>
      <c r="L8" s="17">
        <v>399</v>
      </c>
      <c r="M8" s="17">
        <v>355</v>
      </c>
      <c r="N8" s="17">
        <f t="shared" si="0"/>
        <v>432</v>
      </c>
      <c r="O8" s="17">
        <v>324</v>
      </c>
      <c r="P8" s="17">
        <v>343</v>
      </c>
      <c r="Y8" s="17">
        <v>1135</v>
      </c>
      <c r="Z8" s="17">
        <v>1572</v>
      </c>
      <c r="AA8" s="17">
        <v>1533</v>
      </c>
    </row>
    <row r="9" spans="2:34" s="17" customFormat="1" x14ac:dyDescent="0.2">
      <c r="B9" s="17" t="s">
        <v>39</v>
      </c>
      <c r="I9" s="17">
        <v>160</v>
      </c>
      <c r="K9" s="17">
        <v>140</v>
      </c>
      <c r="L9" s="17">
        <v>161</v>
      </c>
      <c r="M9" s="17">
        <v>129</v>
      </c>
      <c r="N9" s="17">
        <f t="shared" si="0"/>
        <v>155</v>
      </c>
      <c r="O9" s="17">
        <v>123</v>
      </c>
      <c r="P9" s="17">
        <v>124</v>
      </c>
      <c r="Y9" s="17">
        <v>450</v>
      </c>
      <c r="Z9" s="17">
        <v>626</v>
      </c>
      <c r="AA9" s="17">
        <v>585</v>
      </c>
    </row>
    <row r="10" spans="2:34" s="26" customFormat="1" x14ac:dyDescent="0.2">
      <c r="B10" s="26" t="s">
        <v>40</v>
      </c>
      <c r="I10" s="26">
        <f>I6-I7-I8-I9</f>
        <v>-228</v>
      </c>
      <c r="K10" s="26">
        <f>K6-K7-K8-K9</f>
        <v>-156</v>
      </c>
      <c r="L10" s="26">
        <f>L6-L7-L8-L9</f>
        <v>-247</v>
      </c>
      <c r="M10" s="26">
        <f>M6-M7-M8-M9</f>
        <v>32</v>
      </c>
      <c r="N10" s="26">
        <f>N6-N7-N8-N9</f>
        <v>-75</v>
      </c>
      <c r="O10" s="26">
        <f>O6-O7-O8-O9</f>
        <v>168</v>
      </c>
      <c r="P10" s="26">
        <f>P6-P7-P8-P9</f>
        <v>266</v>
      </c>
      <c r="Y10" s="26">
        <f>Y6-Y7-Y8-Y9</f>
        <v>94</v>
      </c>
      <c r="Z10" s="26">
        <f>Z6-Z7-Z8-Z9</f>
        <v>-659</v>
      </c>
      <c r="AA10" s="26">
        <f>AA6-AA7-AA8-AA9</f>
        <v>-446</v>
      </c>
    </row>
    <row r="11" spans="2:34" s="17" customFormat="1" x14ac:dyDescent="0.2">
      <c r="B11" s="17" t="s">
        <v>41</v>
      </c>
      <c r="I11" s="17">
        <v>102</v>
      </c>
      <c r="K11" s="17">
        <v>27</v>
      </c>
      <c r="L11" s="17">
        <v>33</v>
      </c>
      <c r="M11" s="17">
        <v>55</v>
      </c>
      <c r="N11" s="17">
        <f t="shared" ref="N11:N12" si="1">AA11-SUM(K11:M11)</f>
        <v>46</v>
      </c>
      <c r="O11" s="17">
        <v>59</v>
      </c>
      <c r="P11" s="17">
        <v>76</v>
      </c>
      <c r="Y11" s="17">
        <v>246</v>
      </c>
      <c r="Z11" s="17">
        <v>421</v>
      </c>
      <c r="AA11" s="17">
        <v>161</v>
      </c>
    </row>
    <row r="12" spans="2:34" s="17" customFormat="1" x14ac:dyDescent="0.2">
      <c r="B12" s="17" t="s">
        <v>42</v>
      </c>
      <c r="I12" s="17">
        <v>18</v>
      </c>
      <c r="K12" s="17">
        <v>77</v>
      </c>
      <c r="L12" s="17">
        <v>27</v>
      </c>
      <c r="M12" s="17">
        <v>14</v>
      </c>
      <c r="N12" s="17">
        <f t="shared" si="1"/>
        <v>102</v>
      </c>
      <c r="O12" s="17">
        <v>53</v>
      </c>
      <c r="P12" s="17">
        <v>72</v>
      </c>
      <c r="Y12" s="17">
        <v>91</v>
      </c>
      <c r="Z12" s="17">
        <v>132</v>
      </c>
      <c r="AA12" s="17">
        <v>220</v>
      </c>
    </row>
    <row r="13" spans="2:34" s="17" customFormat="1" x14ac:dyDescent="0.2">
      <c r="B13" s="17" t="s">
        <v>43</v>
      </c>
      <c r="I13" s="17">
        <f>I10+I11-I12</f>
        <v>-144</v>
      </c>
      <c r="K13" s="17">
        <f>K10+K11-K12</f>
        <v>-206</v>
      </c>
      <c r="L13" s="17">
        <f>L10+L11-L12</f>
        <v>-241</v>
      </c>
      <c r="M13" s="17">
        <f>M10+M11-M12</f>
        <v>73</v>
      </c>
      <c r="N13" s="17">
        <f>N10+N11-N12</f>
        <v>-131</v>
      </c>
      <c r="O13" s="17">
        <f>O10+O11-O12</f>
        <v>174</v>
      </c>
      <c r="P13" s="17">
        <f>P10+P11-P12</f>
        <v>270</v>
      </c>
      <c r="Y13" s="17">
        <f>Y10+Y11-Y12</f>
        <v>249</v>
      </c>
      <c r="Z13" s="17">
        <f>Z10+Z11-Z12</f>
        <v>-370</v>
      </c>
      <c r="AA13" s="17">
        <f>AA10+AA11-AA12</f>
        <v>-505</v>
      </c>
    </row>
    <row r="14" spans="2:34" s="17" customFormat="1" x14ac:dyDescent="0.2">
      <c r="B14" s="17" t="s">
        <v>44</v>
      </c>
      <c r="I14" s="17">
        <v>22</v>
      </c>
      <c r="K14" s="17">
        <v>19</v>
      </c>
      <c r="L14" s="17">
        <v>61</v>
      </c>
      <c r="M14" s="17">
        <v>8</v>
      </c>
      <c r="N14" s="17">
        <f>AA14-SUM(K14:M14)</f>
        <v>-61</v>
      </c>
      <c r="O14" s="17">
        <v>-23</v>
      </c>
      <c r="P14" s="17">
        <v>-4</v>
      </c>
      <c r="Y14" s="17">
        <v>283</v>
      </c>
      <c r="Z14" s="17">
        <v>60</v>
      </c>
      <c r="AA14" s="17">
        <v>27</v>
      </c>
    </row>
    <row r="15" spans="2:34" s="26" customFormat="1" x14ac:dyDescent="0.2">
      <c r="B15" s="26" t="s">
        <v>45</v>
      </c>
      <c r="I15" s="26">
        <f>I13-I14</f>
        <v>-166</v>
      </c>
      <c r="K15" s="26">
        <f>K13-K14</f>
        <v>-225</v>
      </c>
      <c r="L15" s="26">
        <f>L13-L14</f>
        <v>-302</v>
      </c>
      <c r="M15" s="26">
        <f>M13-M14</f>
        <v>65</v>
      </c>
      <c r="N15" s="26">
        <f>N13-N14</f>
        <v>-70</v>
      </c>
      <c r="O15" s="26">
        <f>O13-O14</f>
        <v>197</v>
      </c>
      <c r="P15" s="26">
        <f>P13-P14</f>
        <v>274</v>
      </c>
      <c r="Y15" s="26">
        <f>Y13-Y14</f>
        <v>-34</v>
      </c>
      <c r="Z15" s="26">
        <f>Z13-Z14</f>
        <v>-430</v>
      </c>
      <c r="AA15" s="26">
        <f>AA13-AA14</f>
        <v>-532</v>
      </c>
    </row>
    <row r="16" spans="2:34" s="25" customFormat="1" x14ac:dyDescent="0.2">
      <c r="B16" s="25" t="s">
        <v>46</v>
      </c>
      <c r="I16" s="25">
        <f>I15/I17</f>
        <v>-0.85975912636125373</v>
      </c>
      <c r="K16" s="25">
        <f>K15/K17</f>
        <v>-1.16241546875964</v>
      </c>
      <c r="L16" s="25">
        <f>L15/L17</f>
        <v>-1.5533371112686438</v>
      </c>
      <c r="M16" s="25">
        <f>M15/M17</f>
        <v>0.33353563894752719</v>
      </c>
      <c r="N16" s="25">
        <f>N15/N17</f>
        <v>-0.35946783642019664</v>
      </c>
      <c r="O16" s="25">
        <f>O15/O17</f>
        <v>0.99482159505796064</v>
      </c>
      <c r="P16" s="25">
        <f>P15/P17</f>
        <v>1.3702797289038584</v>
      </c>
      <c r="Y16" s="25">
        <f>Y15/Y17</f>
        <v>-0.17773280138881667</v>
      </c>
      <c r="Z16" s="25">
        <f>Z15/Z17</f>
        <v>-2.2287314772588895</v>
      </c>
      <c r="AA16" s="25">
        <f>AA15/AA17</f>
        <v>-2.7319555567934941</v>
      </c>
    </row>
    <row r="17" spans="2:27" s="17" customFormat="1" x14ac:dyDescent="0.2">
      <c r="B17" s="17" t="s">
        <v>4</v>
      </c>
      <c r="I17" s="17">
        <v>193.07733400000001</v>
      </c>
      <c r="K17" s="17">
        <v>193.56246200000001</v>
      </c>
      <c r="L17" s="17">
        <v>194.42012800000001</v>
      </c>
      <c r="M17" s="17">
        <v>194.88172299999999</v>
      </c>
      <c r="N17" s="17">
        <f>AA17</f>
        <v>194.732304</v>
      </c>
      <c r="O17" s="17">
        <v>198.02545599999999</v>
      </c>
      <c r="P17" s="17">
        <v>199.959172</v>
      </c>
      <c r="Y17" s="17">
        <v>191.29839699999999</v>
      </c>
      <c r="Z17" s="17">
        <v>192.93486200000001</v>
      </c>
      <c r="AA17" s="17">
        <v>194.732304</v>
      </c>
    </row>
    <row r="19" spans="2:27" s="29" customFormat="1" x14ac:dyDescent="0.2">
      <c r="B19" s="29" t="s">
        <v>47</v>
      </c>
      <c r="M19" s="29">
        <f>M4/I4-1</f>
        <v>0.10573122529644263</v>
      </c>
      <c r="O19" s="29">
        <f>O4/K4-1</f>
        <v>0.19526627218934922</v>
      </c>
      <c r="P19" s="29">
        <f>P4/L4-1</f>
        <v>0.19830028328611893</v>
      </c>
      <c r="V19" s="43" t="s">
        <v>119</v>
      </c>
      <c r="Z19" s="29">
        <f>Z4/Y4-1</f>
        <v>0.21297062474141493</v>
      </c>
      <c r="AA19" s="29">
        <f>AA4/Z4-1</f>
        <v>0.12961541741280813</v>
      </c>
    </row>
    <row r="20" spans="2:27" s="27" customFormat="1" x14ac:dyDescent="0.2">
      <c r="B20" s="27" t="s">
        <v>48</v>
      </c>
      <c r="L20" s="27">
        <f>L4/K4-1</f>
        <v>4.4378698224851965E-2</v>
      </c>
      <c r="M20" s="27">
        <f>M4/L4-1</f>
        <v>5.6657223796033884E-2</v>
      </c>
      <c r="N20" s="27">
        <f>N4/M4-1</f>
        <v>9.3535895144474246E-2</v>
      </c>
      <c r="O20" s="27">
        <f>O4/N4-1</f>
        <v>-9.5341868700626886E-3</v>
      </c>
      <c r="P20" s="27">
        <f>P4/O4-1</f>
        <v>4.7029702970297071E-2</v>
      </c>
      <c r="V20" s="43" t="s">
        <v>119</v>
      </c>
      <c r="W20" s="43" t="s">
        <v>119</v>
      </c>
      <c r="X20" s="43" t="s">
        <v>119</v>
      </c>
      <c r="Y20" s="43" t="s">
        <v>119</v>
      </c>
      <c r="Z20" s="43" t="s">
        <v>119</v>
      </c>
      <c r="AA20" s="43" t="s">
        <v>119</v>
      </c>
    </row>
    <row r="22" spans="2:27" s="27" customFormat="1" x14ac:dyDescent="0.2">
      <c r="B22" s="27" t="s">
        <v>49</v>
      </c>
      <c r="I22" s="27">
        <f>I6/I4</f>
        <v>0.24703557312252963</v>
      </c>
      <c r="K22" s="27">
        <f>K6/K4</f>
        <v>0.2518080210387903</v>
      </c>
      <c r="L22" s="27">
        <f>L6/L4</f>
        <v>0.24110796348756688</v>
      </c>
      <c r="M22" s="27">
        <f>M6/M4</f>
        <v>0.26362823949955316</v>
      </c>
      <c r="N22" s="27">
        <f>N6/N4</f>
        <v>0.26695723236175428</v>
      </c>
      <c r="O22" s="27">
        <f>O6/O4</f>
        <v>0.27612761276127612</v>
      </c>
      <c r="P22" s="27">
        <f>P6/P4</f>
        <v>0.29209351195166799</v>
      </c>
      <c r="Y22" s="27">
        <f>Y6/Y4</f>
        <v>0.26799751758378154</v>
      </c>
      <c r="Z22" s="27">
        <f>Z6/Z4</f>
        <v>0.2495096785196555</v>
      </c>
      <c r="AA22" s="27">
        <f>AA6/AA4</f>
        <v>0.25643541934022795</v>
      </c>
    </row>
    <row r="23" spans="2:27" s="27" customFormat="1" x14ac:dyDescent="0.2">
      <c r="B23" s="27" t="s">
        <v>50</v>
      </c>
      <c r="I23" s="27">
        <f>I10/I4</f>
        <v>-7.5098814229249009E-2</v>
      </c>
      <c r="K23" s="27">
        <f>K10/K4</f>
        <v>-5.128205128205128E-2</v>
      </c>
      <c r="L23" s="27">
        <f>L10/L4</f>
        <v>-7.7746301542335541E-2</v>
      </c>
      <c r="M23" s="27">
        <f>M10/M4</f>
        <v>9.5323205242776286E-3</v>
      </c>
      <c r="N23" s="27">
        <f>N10/N4</f>
        <v>-2.0430400435848543E-2</v>
      </c>
      <c r="O23" s="27">
        <f>O10/O4</f>
        <v>4.6204620462046202E-2</v>
      </c>
      <c r="P23" s="27">
        <f>P10/P4</f>
        <v>6.9871289729445757E-2</v>
      </c>
      <c r="Y23" s="27">
        <f>Y10/Y4</f>
        <v>9.722796855606123E-3</v>
      </c>
      <c r="Z23" s="27">
        <f>Z10/Z4</f>
        <v>-5.6195105312526646E-2</v>
      </c>
      <c r="AA23" s="27">
        <f>AA10/AA4</f>
        <v>-3.3668000301955159E-2</v>
      </c>
    </row>
    <row r="24" spans="2:27" s="27" customFormat="1" x14ac:dyDescent="0.2">
      <c r="B24" s="27" t="s">
        <v>51</v>
      </c>
      <c r="I24" s="27">
        <f>I15/I4</f>
        <v>-5.4677206851119896E-2</v>
      </c>
      <c r="K24" s="27">
        <f>K15/K4</f>
        <v>-7.3964497041420121E-2</v>
      </c>
      <c r="L24" s="27">
        <f>L15/L4</f>
        <v>-9.5058231035568153E-2</v>
      </c>
      <c r="M24" s="27">
        <f>M15/M4</f>
        <v>1.9362526064938934E-2</v>
      </c>
      <c r="N24" s="27">
        <f>N15/N4</f>
        <v>-1.9068373740125308E-2</v>
      </c>
      <c r="O24" s="27">
        <f>O15/O4</f>
        <v>5.4180418041804179E-2</v>
      </c>
      <c r="P24" s="27">
        <f>P15/P4</f>
        <v>7.1972681901759913E-2</v>
      </c>
      <c r="Y24" s="27">
        <f>Y15/Y4</f>
        <v>-3.5167563094745551E-3</v>
      </c>
      <c r="Z24" s="27">
        <f>Z15/Z4</f>
        <v>-3.6667519399675962E-2</v>
      </c>
      <c r="AA24" s="27">
        <f>AA15/AA4</f>
        <v>-4.0160036234619161E-2</v>
      </c>
    </row>
    <row r="25" spans="2:27" s="27" customFormat="1" x14ac:dyDescent="0.2">
      <c r="B25" s="27" t="s">
        <v>52</v>
      </c>
      <c r="I25" s="27">
        <f>I14/I13</f>
        <v>-0.15277777777777779</v>
      </c>
      <c r="K25" s="27">
        <f>K14/K13</f>
        <v>-9.2233009708737865E-2</v>
      </c>
      <c r="L25" s="27">
        <f>L14/L13</f>
        <v>-0.25311203319502074</v>
      </c>
      <c r="M25" s="27">
        <f>M14/M13</f>
        <v>0.1095890410958904</v>
      </c>
      <c r="N25" s="27">
        <f>N14/N13</f>
        <v>0.46564885496183206</v>
      </c>
      <c r="O25" s="27">
        <f>O14/O13</f>
        <v>-0.13218390804597702</v>
      </c>
      <c r="P25" s="27">
        <f>P14/P13</f>
        <v>-1.4814814814814815E-2</v>
      </c>
      <c r="Y25" s="27">
        <f>Y14/Y13</f>
        <v>1.1365461847389557</v>
      </c>
      <c r="Z25" s="27">
        <f>Z14/Z13</f>
        <v>-0.16216216216216217</v>
      </c>
      <c r="AA25" s="27">
        <f>AA14/AA13</f>
        <v>-5.3465346534653464E-2</v>
      </c>
    </row>
    <row r="27" spans="2:27" x14ac:dyDescent="0.2">
      <c r="B27" s="30" t="s">
        <v>53</v>
      </c>
    </row>
    <row r="28" spans="2:27" x14ac:dyDescent="0.2">
      <c r="B28" s="1" t="s">
        <v>54</v>
      </c>
    </row>
    <row r="29" spans="2:27" x14ac:dyDescent="0.2">
      <c r="B29" s="1" t="s">
        <v>55</v>
      </c>
    </row>
    <row r="30" spans="2:27" x14ac:dyDescent="0.2">
      <c r="B30" s="1" t="s">
        <v>56</v>
      </c>
    </row>
    <row r="32" spans="2:27" x14ac:dyDescent="0.2">
      <c r="B32" s="1" t="s">
        <v>57</v>
      </c>
    </row>
    <row r="36" spans="2:16" x14ac:dyDescent="0.2">
      <c r="B36" s="30" t="s">
        <v>58</v>
      </c>
    </row>
    <row r="37" spans="2:16" s="17" customFormat="1" x14ac:dyDescent="0.2">
      <c r="B37" s="17" t="s">
        <v>59</v>
      </c>
      <c r="N37" s="17">
        <v>300</v>
      </c>
      <c r="P37" s="17">
        <v>254</v>
      </c>
    </row>
    <row r="38" spans="2:16" s="17" customFormat="1" x14ac:dyDescent="0.2">
      <c r="B38" s="17" t="s">
        <v>60</v>
      </c>
      <c r="N38" s="17">
        <v>247</v>
      </c>
      <c r="P38" s="17">
        <v>211</v>
      </c>
    </row>
    <row r="39" spans="2:16" s="17" customFormat="1" x14ac:dyDescent="0.2">
      <c r="B39" s="17" t="s">
        <v>61</v>
      </c>
      <c r="N39" s="17">
        <f>1137+84</f>
        <v>1221</v>
      </c>
      <c r="P39" s="17">
        <f>1167+68</f>
        <v>1235</v>
      </c>
    </row>
    <row r="40" spans="2:16" s="26" customFormat="1" x14ac:dyDescent="0.2">
      <c r="B40" s="26" t="s">
        <v>62</v>
      </c>
      <c r="N40" s="26">
        <v>1215</v>
      </c>
      <c r="P40" s="26">
        <v>1931</v>
      </c>
    </row>
    <row r="41" spans="2:16" s="17" customFormat="1" x14ac:dyDescent="0.2">
      <c r="B41" s="17" t="s">
        <v>63</v>
      </c>
      <c r="N41" s="17">
        <v>75</v>
      </c>
      <c r="P41" s="17">
        <v>70</v>
      </c>
    </row>
    <row r="42" spans="2:16" s="17" customFormat="1" x14ac:dyDescent="0.2">
      <c r="B42" s="17" t="s">
        <v>64</v>
      </c>
      <c r="N42" s="17">
        <v>0</v>
      </c>
      <c r="P42" s="17">
        <v>52</v>
      </c>
    </row>
    <row r="43" spans="2:16" s="17" customFormat="1" x14ac:dyDescent="0.2">
      <c r="B43" s="17" t="s">
        <v>65</v>
      </c>
      <c r="N43" s="17">
        <v>28</v>
      </c>
      <c r="P43" s="17">
        <v>49</v>
      </c>
    </row>
    <row r="44" spans="2:16" s="17" customFormat="1" x14ac:dyDescent="0.2">
      <c r="B44" s="17" t="s">
        <v>66</v>
      </c>
      <c r="N44" s="17">
        <v>858</v>
      </c>
      <c r="P44" s="17">
        <v>753</v>
      </c>
    </row>
    <row r="45" spans="2:16" s="17" customFormat="1" x14ac:dyDescent="0.2">
      <c r="B45" s="17" t="s">
        <v>44</v>
      </c>
      <c r="N45" s="17">
        <v>20</v>
      </c>
      <c r="P45" s="17">
        <v>35</v>
      </c>
    </row>
    <row r="46" spans="2:16" s="26" customFormat="1" x14ac:dyDescent="0.2">
      <c r="B46" s="26" t="s">
        <v>67</v>
      </c>
      <c r="N46" s="26">
        <v>1100</v>
      </c>
      <c r="P46" s="26">
        <v>1344</v>
      </c>
    </row>
    <row r="47" spans="2:16" s="26" customFormat="1" x14ac:dyDescent="0.2">
      <c r="B47" s="26" t="s">
        <v>6</v>
      </c>
      <c r="N47" s="26">
        <v>3114</v>
      </c>
      <c r="P47" s="26">
        <v>4054</v>
      </c>
    </row>
    <row r="48" spans="2:16" s="17" customFormat="1" x14ac:dyDescent="0.2">
      <c r="B48" s="17" t="s">
        <v>68</v>
      </c>
      <c r="N48" s="17">
        <v>168</v>
      </c>
      <c r="P48" s="17">
        <v>158</v>
      </c>
    </row>
    <row r="49" spans="2:16" s="17" customFormat="1" x14ac:dyDescent="0.2">
      <c r="B49" s="17" t="s">
        <v>69</v>
      </c>
      <c r="N49" s="17">
        <f>SUM(N37:N48)</f>
        <v>8346</v>
      </c>
      <c r="P49" s="17">
        <f>SUM(P37:P48)</f>
        <v>10146</v>
      </c>
    </row>
    <row r="50" spans="2:16" s="17" customFormat="1" x14ac:dyDescent="0.2"/>
    <row r="51" spans="2:16" s="26" customFormat="1" x14ac:dyDescent="0.2">
      <c r="B51" s="26" t="s">
        <v>70</v>
      </c>
      <c r="N51" s="26">
        <v>1203</v>
      </c>
      <c r="P51" s="26">
        <v>1323</v>
      </c>
    </row>
    <row r="52" spans="2:16" s="17" customFormat="1" x14ac:dyDescent="0.2">
      <c r="B52" s="17" t="s">
        <v>71</v>
      </c>
      <c r="N52" s="17">
        <v>493</v>
      </c>
      <c r="P52" s="17">
        <v>472</v>
      </c>
    </row>
    <row r="53" spans="2:16" s="17" customFormat="1" x14ac:dyDescent="0.2">
      <c r="B53" s="17" t="s">
        <v>72</v>
      </c>
      <c r="N53" s="17">
        <v>26</v>
      </c>
      <c r="P53" s="17">
        <v>11</v>
      </c>
    </row>
    <row r="54" spans="2:16" s="17" customFormat="1" x14ac:dyDescent="0.2">
      <c r="B54" s="17" t="s">
        <v>73</v>
      </c>
      <c r="N54" s="17">
        <v>3</v>
      </c>
      <c r="P54" s="17">
        <v>3</v>
      </c>
    </row>
    <row r="55" spans="2:16" s="17" customFormat="1" x14ac:dyDescent="0.2">
      <c r="B55" s="17" t="s">
        <v>65</v>
      </c>
      <c r="N55" s="17">
        <v>8</v>
      </c>
      <c r="P55" s="17">
        <v>19</v>
      </c>
    </row>
    <row r="56" spans="2:16" s="17" customFormat="1" x14ac:dyDescent="0.2">
      <c r="B56" s="17" t="s">
        <v>74</v>
      </c>
      <c r="N56" s="17">
        <v>978</v>
      </c>
      <c r="P56" s="17">
        <v>1091</v>
      </c>
    </row>
    <row r="57" spans="2:16" s="17" customFormat="1" x14ac:dyDescent="0.2">
      <c r="B57" s="17" t="s">
        <v>44</v>
      </c>
      <c r="N57" s="17">
        <v>12</v>
      </c>
      <c r="P57" s="17">
        <v>17</v>
      </c>
    </row>
    <row r="58" spans="2:16" s="17" customFormat="1" x14ac:dyDescent="0.2">
      <c r="B58" s="17" t="s">
        <v>87</v>
      </c>
      <c r="N58" s="17">
        <v>622</v>
      </c>
      <c r="P58" s="17">
        <v>657</v>
      </c>
    </row>
    <row r="59" spans="2:16" s="17" customFormat="1" x14ac:dyDescent="0.2">
      <c r="B59" s="17" t="s">
        <v>89</v>
      </c>
      <c r="N59" s="17">
        <v>2440</v>
      </c>
      <c r="P59" s="17">
        <v>2223</v>
      </c>
    </row>
    <row r="60" spans="2:16" s="17" customFormat="1" x14ac:dyDescent="0.2">
      <c r="B60" s="17" t="s">
        <v>73</v>
      </c>
      <c r="N60" s="17">
        <v>21</v>
      </c>
      <c r="P60" s="17">
        <v>24</v>
      </c>
    </row>
    <row r="61" spans="2:16" s="26" customFormat="1" x14ac:dyDescent="0.2">
      <c r="B61" s="26" t="s">
        <v>88</v>
      </c>
      <c r="N61" s="26">
        <v>17</v>
      </c>
      <c r="P61" s="26">
        <v>47</v>
      </c>
    </row>
    <row r="62" spans="2:16" s="17" customFormat="1" x14ac:dyDescent="0.2">
      <c r="B62" s="17" t="s">
        <v>75</v>
      </c>
      <c r="N62" s="17">
        <f>SUM(N51:N61)</f>
        <v>5823</v>
      </c>
      <c r="P62" s="17">
        <f>SUM(P51:P61)</f>
        <v>5887</v>
      </c>
    </row>
    <row r="63" spans="2:16" s="17" customFormat="1" x14ac:dyDescent="0.2"/>
    <row r="64" spans="2:16" s="17" customFormat="1" x14ac:dyDescent="0.2">
      <c r="B64" s="17" t="s">
        <v>76</v>
      </c>
      <c r="N64" s="17">
        <v>2523</v>
      </c>
      <c r="P64" s="17">
        <v>4259</v>
      </c>
    </row>
    <row r="65" spans="2:16" s="17" customFormat="1" x14ac:dyDescent="0.2">
      <c r="B65" s="17" t="s">
        <v>77</v>
      </c>
      <c r="N65" s="17">
        <f>N64+N62</f>
        <v>8346</v>
      </c>
      <c r="P65" s="17">
        <f>P64+P62</f>
        <v>10146</v>
      </c>
    </row>
    <row r="67" spans="2:16" x14ac:dyDescent="0.2">
      <c r="B67" s="1" t="s">
        <v>78</v>
      </c>
      <c r="N67" s="17"/>
      <c r="P67" s="17">
        <f>P49-P62</f>
        <v>4259</v>
      </c>
    </row>
    <row r="68" spans="2:16" x14ac:dyDescent="0.2">
      <c r="B68" s="1" t="s">
        <v>79</v>
      </c>
      <c r="P68" s="1">
        <f>P67/P17</f>
        <v>21.299348048910705</v>
      </c>
    </row>
    <row r="70" spans="2:16" x14ac:dyDescent="0.2">
      <c r="B70" s="1" t="s">
        <v>6</v>
      </c>
      <c r="N70" s="17">
        <f>+N40+N46+N47</f>
        <v>5429</v>
      </c>
      <c r="P70" s="17">
        <f>+P40+P46+P47</f>
        <v>7329</v>
      </c>
    </row>
    <row r="71" spans="2:16" x14ac:dyDescent="0.2">
      <c r="B71" s="1" t="s">
        <v>7</v>
      </c>
      <c r="N71" s="17">
        <f>+N51+N61</f>
        <v>1220</v>
      </c>
      <c r="P71" s="17">
        <f>+P51+P61</f>
        <v>1370</v>
      </c>
    </row>
    <row r="72" spans="2:16" x14ac:dyDescent="0.2">
      <c r="B72" s="1" t="s">
        <v>8</v>
      </c>
      <c r="N72" s="17">
        <f>N70-N71</f>
        <v>4209</v>
      </c>
      <c r="P72" s="17">
        <f>P70-P71</f>
        <v>5959</v>
      </c>
    </row>
    <row r="74" spans="2:16" x14ac:dyDescent="0.2">
      <c r="B74" s="1" t="s">
        <v>80</v>
      </c>
    </row>
    <row r="75" spans="2:16" x14ac:dyDescent="0.2">
      <c r="B75" s="1" t="s">
        <v>5</v>
      </c>
    </row>
    <row r="76" spans="2:16" x14ac:dyDescent="0.2">
      <c r="B76" s="1" t="s">
        <v>9</v>
      </c>
    </row>
    <row r="78" spans="2:16" x14ac:dyDescent="0.2">
      <c r="B78" s="1" t="s">
        <v>81</v>
      </c>
    </row>
    <row r="79" spans="2:16" x14ac:dyDescent="0.2">
      <c r="B79" s="1" t="s">
        <v>82</v>
      </c>
    </row>
    <row r="80" spans="2:16" x14ac:dyDescent="0.2">
      <c r="B80" s="1" t="s">
        <v>83</v>
      </c>
    </row>
    <row r="81" spans="2:27" x14ac:dyDescent="0.2">
      <c r="B81" s="1" t="s">
        <v>84</v>
      </c>
    </row>
    <row r="82" spans="2:27" x14ac:dyDescent="0.2">
      <c r="B82" s="1" t="s">
        <v>85</v>
      </c>
    </row>
    <row r="85" spans="2:27" x14ac:dyDescent="0.2">
      <c r="B85" s="30" t="s">
        <v>86</v>
      </c>
    </row>
    <row r="86" spans="2:27" x14ac:dyDescent="0.2">
      <c r="B86" s="1" t="s">
        <v>112</v>
      </c>
      <c r="K86" s="1">
        <v>59</v>
      </c>
      <c r="L86" s="1">
        <f>72-K86</f>
        <v>13</v>
      </c>
      <c r="M86" s="1">
        <f>283-SUM(K86:L86)</f>
        <v>211</v>
      </c>
      <c r="N86" s="1">
        <f>AA86-SUM(K86:M86)</f>
        <v>397</v>
      </c>
      <c r="O86" s="1">
        <v>211</v>
      </c>
      <c r="P86" s="1">
        <f>703-O86</f>
        <v>492</v>
      </c>
      <c r="Y86" s="1">
        <v>361</v>
      </c>
      <c r="Z86" s="1">
        <v>46</v>
      </c>
      <c r="AA86" s="1">
        <v>680</v>
      </c>
    </row>
    <row r="87" spans="2:27" x14ac:dyDescent="0.2">
      <c r="B87" s="1" t="s">
        <v>113</v>
      </c>
      <c r="K87" s="1">
        <v>2</v>
      </c>
      <c r="L87" s="1">
        <f>4-K87</f>
        <v>2</v>
      </c>
      <c r="M87" s="1">
        <f>5-SUM(K87:L87)</f>
        <v>1</v>
      </c>
      <c r="N87" s="1">
        <f>AA87-SUM(K87:M87)</f>
        <v>1</v>
      </c>
      <c r="O87" s="1">
        <v>5</v>
      </c>
      <c r="P87" s="1">
        <f>7-O87</f>
        <v>2</v>
      </c>
      <c r="Y87" s="1">
        <v>85</v>
      </c>
      <c r="Z87" s="1">
        <v>25</v>
      </c>
      <c r="AA87" s="1">
        <v>6</v>
      </c>
    </row>
    <row r="88" spans="2:27" x14ac:dyDescent="0.2">
      <c r="B88" s="1" t="s">
        <v>114</v>
      </c>
      <c r="K88" s="1">
        <f>K86-K87</f>
        <v>57</v>
      </c>
      <c r="L88" s="1">
        <f>L86-L87</f>
        <v>11</v>
      </c>
      <c r="M88" s="1">
        <f>M86-M87</f>
        <v>210</v>
      </c>
      <c r="N88" s="1">
        <f>N86-N87</f>
        <v>396</v>
      </c>
      <c r="O88" s="1">
        <f>O86-O87</f>
        <v>206</v>
      </c>
      <c r="P88" s="1">
        <f>P86-P87</f>
        <v>490</v>
      </c>
      <c r="Y88" s="1">
        <f>Y86-Y87</f>
        <v>276</v>
      </c>
      <c r="Z88" s="1">
        <f>Z86-Z87</f>
        <v>21</v>
      </c>
      <c r="AA88" s="1">
        <f>AA86-AA87</f>
        <v>674</v>
      </c>
    </row>
    <row r="90" spans="2:27" x14ac:dyDescent="0.2">
      <c r="B90" s="1" t="s">
        <v>117</v>
      </c>
      <c r="K90" s="1">
        <f>K88/K17</f>
        <v>0.29447858541910876</v>
      </c>
      <c r="L90" s="1">
        <f>L88/L17</f>
        <v>5.6578504052831401E-2</v>
      </c>
      <c r="M90" s="1">
        <f>M88/M17</f>
        <v>1.0775766796766262</v>
      </c>
      <c r="N90" s="1">
        <f>N88/N17</f>
        <v>2.0335609031771122</v>
      </c>
      <c r="O90" s="1">
        <f>O88/O17</f>
        <v>1.0402702973702533</v>
      </c>
      <c r="P90" s="1">
        <f>P88/P17</f>
        <v>2.4505002451200388</v>
      </c>
    </row>
    <row r="91" spans="2:27" x14ac:dyDescent="0.2">
      <c r="B91" s="1" t="s">
        <v>115</v>
      </c>
    </row>
  </sheetData>
  <hyperlinks>
    <hyperlink ref="P1" r:id="rId1" location="i6219ef351862462cb4b73859389025cb_16" display="Q324" xr:uid="{433CFE42-8F11-4138-BF69-ED2A097CD3E1}"/>
    <hyperlink ref="O1" r:id="rId2" location="id06dbc282f924b73a0b57d5ec1e0dafd_16" xr:uid="{ACF852A1-1AD6-46A6-BCFA-CED6FD1BC8D0}"/>
    <hyperlink ref="AA1" r:id="rId3" xr:uid="{4E0D9137-3DBE-4E8B-BDE9-045CDC9EC012}"/>
    <hyperlink ref="N1" r:id="rId4" xr:uid="{EC2419FD-8B8D-45FB-92A3-C1F913E6AB48}"/>
    <hyperlink ref="M1" r:id="rId5" xr:uid="{09C77A37-9A10-4E67-BE11-FEB47923ED6E}"/>
  </hyperlinks>
  <pageMargins left="0.7" right="0.7" top="0.75" bottom="0.75" header="0.3" footer="0.3"/>
  <pageSetup paperSize="9" orientation="portrait" horizontalDpi="4294967293" verticalDpi="0" r:id="rId6"/>
  <ignoredErrors>
    <ignoredError sqref="N6:N15" formula="1"/>
  </ignoredErrors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</dc:creator>
  <cp:lastModifiedBy>Charlie H</cp:lastModifiedBy>
  <dcterms:created xsi:type="dcterms:W3CDTF">2024-11-09T18:13:45Z</dcterms:created>
  <dcterms:modified xsi:type="dcterms:W3CDTF">2024-11-09T19:27:13Z</dcterms:modified>
</cp:coreProperties>
</file>