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71D2F5F-390E-440A-86E9-4B399C998B54}" xr6:coauthVersionLast="36" xr6:coauthVersionMax="47" xr10:uidLastSave="{00000000-0000-0000-0000-000000000000}"/>
  <bookViews>
    <workbookView xWindow="-120" yWindow="-120" windowWidth="29040" windowHeight="15720" xr2:uid="{38D97D9D-CDAC-46C1-9E62-D504DC6E091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39" i="1"/>
  <c r="C37" i="1"/>
  <c r="C35" i="1"/>
  <c r="J93" i="2"/>
  <c r="K93" i="2"/>
  <c r="L93" i="2"/>
  <c r="M93" i="2"/>
  <c r="J91" i="2"/>
  <c r="K91" i="2"/>
  <c r="L91" i="2"/>
  <c r="M91" i="2"/>
  <c r="J90" i="2"/>
  <c r="J89" i="2"/>
  <c r="J88" i="2"/>
  <c r="J86" i="2"/>
  <c r="J85" i="2"/>
  <c r="S90" i="2"/>
  <c r="R90" i="2"/>
  <c r="Q90" i="2"/>
  <c r="Q85" i="2"/>
  <c r="R85" i="2"/>
  <c r="S85" i="2"/>
  <c r="K28" i="2"/>
  <c r="J28" i="2"/>
  <c r="J25" i="2"/>
  <c r="J24" i="2"/>
  <c r="J23" i="2"/>
  <c r="J22" i="2"/>
  <c r="J19" i="2"/>
  <c r="J20" i="2"/>
  <c r="J17" i="2"/>
  <c r="J15" i="2"/>
  <c r="J14" i="2"/>
  <c r="J12" i="2"/>
  <c r="J11" i="2"/>
  <c r="J10" i="2"/>
  <c r="J8" i="2"/>
  <c r="J9" i="2"/>
  <c r="J13" i="2" s="1"/>
  <c r="J7" i="2"/>
  <c r="J6" i="2"/>
  <c r="J5" i="2"/>
  <c r="J4" i="2"/>
  <c r="J3" i="2"/>
  <c r="J2" i="2"/>
  <c r="R27" i="2"/>
  <c r="S27" i="2"/>
  <c r="S25" i="2"/>
  <c r="S24" i="2"/>
  <c r="S23" i="2"/>
  <c r="S22" i="2"/>
  <c r="R25" i="2"/>
  <c r="R24" i="2"/>
  <c r="R23" i="2"/>
  <c r="R22" i="2"/>
  <c r="Q25" i="2"/>
  <c r="Q24" i="2"/>
  <c r="Q23" i="2"/>
  <c r="Q22" i="2"/>
  <c r="S19" i="2"/>
  <c r="R19" i="2"/>
  <c r="Q19" i="2"/>
  <c r="Q7" i="2"/>
  <c r="R7" i="2"/>
  <c r="S7" i="2"/>
  <c r="Q9" i="2"/>
  <c r="R9" i="2"/>
  <c r="S9" i="2"/>
  <c r="Q13" i="2"/>
  <c r="Q16" i="2" s="1"/>
  <c r="Q18" i="2" s="1"/>
  <c r="R13" i="2"/>
  <c r="R16" i="2" s="1"/>
  <c r="R18" i="2" s="1"/>
  <c r="S13" i="2"/>
  <c r="S16" i="2" s="1"/>
  <c r="S18" i="2" s="1"/>
  <c r="I90" i="2"/>
  <c r="I89" i="2"/>
  <c r="I88" i="2"/>
  <c r="I86" i="2"/>
  <c r="H90" i="2"/>
  <c r="H89" i="2"/>
  <c r="H88" i="2"/>
  <c r="H86" i="2"/>
  <c r="G90" i="2"/>
  <c r="G85" i="2"/>
  <c r="H85" i="2"/>
  <c r="M90" i="2"/>
  <c r="M89" i="2"/>
  <c r="M88" i="2"/>
  <c r="M86" i="2"/>
  <c r="L90" i="2"/>
  <c r="L89" i="2"/>
  <c r="L88" i="2"/>
  <c r="L86" i="2"/>
  <c r="K90" i="2"/>
  <c r="K85" i="2"/>
  <c r="K27" i="2"/>
  <c r="L28" i="2"/>
  <c r="H28" i="2"/>
  <c r="G25" i="2"/>
  <c r="G24" i="2"/>
  <c r="G23" i="2"/>
  <c r="G22" i="2"/>
  <c r="G19" i="2"/>
  <c r="G18" i="2"/>
  <c r="G16" i="2"/>
  <c r="G13" i="2"/>
  <c r="G9" i="2"/>
  <c r="G7" i="2"/>
  <c r="K25" i="2"/>
  <c r="K24" i="2"/>
  <c r="K23" i="2"/>
  <c r="K22" i="2"/>
  <c r="K7" i="2"/>
  <c r="K9" i="2" s="1"/>
  <c r="K13" i="2" s="1"/>
  <c r="K16" i="2" s="1"/>
  <c r="K18" i="2" s="1"/>
  <c r="K19" i="2" s="1"/>
  <c r="L85" i="2"/>
  <c r="I28" i="2"/>
  <c r="M28" i="2"/>
  <c r="L27" i="2"/>
  <c r="H25" i="2"/>
  <c r="H24" i="2"/>
  <c r="H23" i="2"/>
  <c r="H22" i="2"/>
  <c r="H7" i="2"/>
  <c r="H9" i="2" s="1"/>
  <c r="H13" i="2" s="1"/>
  <c r="H16" i="2" s="1"/>
  <c r="H18" i="2" s="1"/>
  <c r="H19" i="2" s="1"/>
  <c r="L25" i="2"/>
  <c r="L24" i="2"/>
  <c r="L23" i="2"/>
  <c r="L22" i="2"/>
  <c r="L7" i="2"/>
  <c r="L9" i="2" s="1"/>
  <c r="L13" i="2" s="1"/>
  <c r="L16" i="2" s="1"/>
  <c r="L18" i="2" s="1"/>
  <c r="L19" i="2" s="1"/>
  <c r="J16" i="2" l="1"/>
  <c r="J18" i="2" s="1"/>
  <c r="I85" i="2"/>
  <c r="M85" i="2"/>
  <c r="C34" i="1"/>
  <c r="D29" i="1"/>
  <c r="C10" i="1"/>
  <c r="C9" i="1"/>
  <c r="M72" i="2"/>
  <c r="M71" i="2"/>
  <c r="M70" i="2"/>
  <c r="M68" i="2"/>
  <c r="M67" i="2"/>
  <c r="M65" i="2"/>
  <c r="M56" i="2"/>
  <c r="M62" i="2" s="1"/>
  <c r="M45" i="2"/>
  <c r="M41" i="2"/>
  <c r="M47" i="2" s="1"/>
  <c r="I23" i="2"/>
  <c r="I7" i="2"/>
  <c r="I9" i="2" s="1"/>
  <c r="I13" i="2" s="1"/>
  <c r="I16" i="2" s="1"/>
  <c r="I18" i="2" s="1"/>
  <c r="I19" i="2" s="1"/>
  <c r="M16" i="2"/>
  <c r="M25" i="2" s="1"/>
  <c r="M14" i="2"/>
  <c r="M13" i="2"/>
  <c r="M23" i="2" s="1"/>
  <c r="M9" i="2"/>
  <c r="M22" i="2" s="1"/>
  <c r="M7" i="2"/>
  <c r="M27" i="2" s="1"/>
  <c r="M18" i="2" l="1"/>
  <c r="I22" i="2"/>
  <c r="I24" i="2"/>
  <c r="I25" i="2"/>
  <c r="M19" i="2" l="1"/>
  <c r="M24" i="2"/>
  <c r="C11" i="1" l="1"/>
  <c r="C8" i="1"/>
  <c r="C12" i="1" l="1"/>
  <c r="C38" i="1" l="1"/>
  <c r="C36" i="1"/>
</calcChain>
</file>

<file path=xl/sharedStrings.xml><?xml version="1.0" encoding="utf-8"?>
<sst xmlns="http://schemas.openxmlformats.org/spreadsheetml/2006/main" count="144" uniqueCount="127">
  <si>
    <t>$SWI</t>
  </si>
  <si>
    <t>SolarWinds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</si>
  <si>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</si>
  <si>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</si>
  <si>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</si>
  <si>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</si>
  <si>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</si>
  <si>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</si>
  <si>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</si>
  <si>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</si>
  <si>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</si>
  <si>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</si>
  <si>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</si>
  <si>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</si>
  <si>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</si>
  <si>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HQ</t>
  </si>
  <si>
    <t>Founded</t>
  </si>
  <si>
    <t>IPO</t>
  </si>
  <si>
    <t>Austin, TX</t>
  </si>
  <si>
    <t>Network management software, monitoring &amp; analysing performance of servers, machines, network, systems analysis</t>
  </si>
  <si>
    <t>Update</t>
  </si>
  <si>
    <t>IR</t>
  </si>
  <si>
    <t>Link</t>
  </si>
  <si>
    <t>Profile</t>
  </si>
  <si>
    <t>Valuation Metrics</t>
  </si>
  <si>
    <t>P/B</t>
  </si>
  <si>
    <t>P/S</t>
  </si>
  <si>
    <t>EV/S</t>
  </si>
  <si>
    <t>P/E</t>
  </si>
  <si>
    <t>EV/E</t>
  </si>
  <si>
    <t>Stockopedia</t>
  </si>
  <si>
    <t>Employ.</t>
  </si>
  <si>
    <t>Key Events</t>
  </si>
  <si>
    <t>SolarWinds suffered one of the most notable hacks in history from Russian cyber criminals</t>
  </si>
  <si>
    <t>Cybercriminals had been selling access to SolarWinds infrastructure since 2017</t>
  </si>
  <si>
    <t>They had access to the company's entire Microsoft 365 resulting in a massive data breach</t>
  </si>
  <si>
    <t>2021 Cyber Attack</t>
  </si>
  <si>
    <t>SolarWinds separated it's MSP business from the main company forming N-able</t>
  </si>
  <si>
    <t>CEO Kevin Thompson retired to be replaced by Suhakar Ramakrishna former CEO of Pulse Secure</t>
  </si>
  <si>
    <t>Sudhakar Ramakrishna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</si>
  <si>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</si>
  <si>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</si>
  <si>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</si>
  <si>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</si>
  <si>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</si>
  <si>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</si>
  <si>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</si>
  <si>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</si>
  <si>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</si>
  <si>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</si>
  <si>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</si>
  <si>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Subscription</t>
  </si>
  <si>
    <t>Revenue</t>
  </si>
  <si>
    <t>License</t>
  </si>
  <si>
    <t>COGS</t>
  </si>
  <si>
    <t>Gross Profit</t>
  </si>
  <si>
    <t>S&amp;M</t>
  </si>
  <si>
    <t>R&amp;D</t>
  </si>
  <si>
    <t>G&amp;A</t>
  </si>
  <si>
    <t>Operating Income</t>
  </si>
  <si>
    <t>Other Income</t>
  </si>
  <si>
    <t>Interest Income</t>
  </si>
  <si>
    <t>Pretax Income</t>
  </si>
  <si>
    <t>Taxes</t>
  </si>
  <si>
    <t>Net Income</t>
  </si>
  <si>
    <t>EPS</t>
  </si>
  <si>
    <t>30/092023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</si>
  <si>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</si>
  <si>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</si>
  <si>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</si>
  <si>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</si>
  <si>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</si>
  <si>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</si>
  <si>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</si>
  <si>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Maintenance</t>
  </si>
  <si>
    <t>Short-Term Investments</t>
  </si>
  <si>
    <t>A/R</t>
  </si>
  <si>
    <t>Income Tax Recievable</t>
  </si>
  <si>
    <t>Prepaid &amp; OCA</t>
  </si>
  <si>
    <t>TCA</t>
  </si>
  <si>
    <t>Deferred Taxes</t>
  </si>
  <si>
    <t>PP&amp;E</t>
  </si>
  <si>
    <t>Operating Lease ROU</t>
  </si>
  <si>
    <t>Goodwill + Intangibles</t>
  </si>
  <si>
    <t>Other Assets</t>
  </si>
  <si>
    <t>Assets</t>
  </si>
  <si>
    <t>A/P</t>
  </si>
  <si>
    <t>Accrued Liabilities</t>
  </si>
  <si>
    <t>Current Operating Lease</t>
  </si>
  <si>
    <t>Accrued Interest Payable</t>
  </si>
  <si>
    <t>Income Taxes Payable</t>
  </si>
  <si>
    <t>Current Portion of Deferred Revenue</t>
  </si>
  <si>
    <t>Current Debt Obligation</t>
  </si>
  <si>
    <t>TCL</t>
  </si>
  <si>
    <t>Deferred Revenue</t>
  </si>
  <si>
    <t>Operating Lease Liabilities</t>
  </si>
  <si>
    <t>Long-Term Debt</t>
  </si>
  <si>
    <t>Liabilities</t>
  </si>
  <si>
    <t>S/E</t>
  </si>
  <si>
    <t>S/E+L</t>
  </si>
  <si>
    <t>Book Value</t>
  </si>
  <si>
    <t>Book Value per Share</t>
  </si>
  <si>
    <t>Other Long-Term Liabilities</t>
  </si>
  <si>
    <t>Cashflow</t>
  </si>
  <si>
    <t>Model NI</t>
  </si>
  <si>
    <t>Reported NI</t>
  </si>
  <si>
    <t>CFFO</t>
  </si>
  <si>
    <t>FCF</t>
  </si>
  <si>
    <t>CapEx</t>
  </si>
  <si>
    <t>FCF TTM</t>
  </si>
  <si>
    <t>Price - FCF</t>
  </si>
  <si>
    <t>FCF per Share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</si>
  <si>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</si>
  <si>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</si>
  <si>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</si>
  <si>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</si>
  <si>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</si>
  <si>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</si>
  <si>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</si>
  <si>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</si>
  <si>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</si>
  <si>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</si>
  <si>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Q424</t>
  </si>
  <si>
    <t>P/FCF</t>
  </si>
  <si>
    <t>Non-Finance Metrics</t>
  </si>
  <si>
    <t>Headcount Y/Y</t>
  </si>
  <si>
    <t>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</si>
</sst>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4" borderId="0" xfId="1" applyFont="1" applyFill="1" applyBorder="1"/>
    <xf numFmtId="0" fontId="1" fillId="4" borderId="0" xfId="0" applyFont="1" applyFill="1" applyBorder="1" applyAlignment="1">
      <alignment horizontal="left" indent="1"/>
    </xf>
    <xf numFmtId="17" fontId="1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0" borderId="0" xfId="0" applyNumberFormat="1" applyFont="1"/>
    <xf numFmtId="3" fontId="9" fillId="0" borderId="0" xfId="0" applyNumberFormat="1" applyFont="1"/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438151</xdr:colOff>
      <xdr:row>0</xdr:row>
      <xdr:rowOff>9525</xdr:rowOff>
    </xdr:from>
    <xdr:to>
      <xdr:col>4</xdr:col>
      <xdr:colOff>428625</xdr:colOff>
      <xdr:row>3</xdr:row>
      <xdr:rowOff>123824</xdr:rowOff>
    </xdr:to>
    <xdr:pic>
      <xdr:nvPicPr>
        <xdr:cNvPr id="2" name="Picture 1" descr="SolarWinds logo">
          <a:extLst>
            <a:ext uri="{FF2B5EF4-FFF2-40B4-BE49-F238E27FC236}">
              <a16:creationId xmlns:a16="http://schemas.microsoft.com/office/drawing/2014/main" id="{B93CA374-C794-1D87-1DAA-785C50300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1" y="9525"/>
          <a:ext cx="600074" cy="60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2020_United_States_federal_government_data_brea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739942/000173994224000058/swi-20240331.htm" TargetMode="External"/><Relationship Id="rId2" Type="http://schemas.openxmlformats.org/officeDocument/2006/relationships/hyperlink" Target="https://www.sec.gov/Archives/edgar/data/1739942/000173994224000096/swi-20240630.htm" TargetMode="External"/><Relationship Id="rId1" Type="http://schemas.openxmlformats.org/officeDocument/2006/relationships/hyperlink" Target="https://www.sec.gov/Archives/edgar/data/1739942/000173994224000123/swi-20240930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ec.gov/Archives/edgar/data/1739942/000173994224000020/swi-202312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3B4-506D-4B22-BF95-EC9E1E1ACEC0}">
  <dimension ref="A2:U40"/>
  <sheetViews>
    <sheetView tabSelected="1" workbookViewId="0">
      <selection activeCell="C27" sqref="C27:D27"/>
    </sheetView>
  </sheetViews>
  <sheetFormatPr defaultRowHeight="12.75" x14ac:dyDescent="0.2"/>
  <cols>
    <col min="1" max="16384" width="9.140625" style="1"/>
  </cols>
  <sheetData>
    <row r="2" spans="1:21" x14ac:dyDescent="0.2">
      <c r="B2" s="2" t="s">
        <v>0</v>
      </c>
      <c r="F2" s="1" t="s">
        <v>19</v>
      </c>
    </row>
    <row r="3" spans="1:21" x14ac:dyDescent="0.2">
      <c r="B3" s="2" t="s">
        <v>1</v>
      </c>
    </row>
    <row r="5" spans="1:21" x14ac:dyDescent="0.2">
      <c r="B5" s="37" t="s">
        <v>2</v>
      </c>
      <c r="C5" s="38"/>
      <c r="D5" s="39"/>
      <c r="G5" s="37" t="s">
        <v>32</v>
      </c>
      <c r="H5" s="38"/>
      <c r="I5" s="38"/>
      <c r="J5" s="38"/>
      <c r="K5" s="38"/>
      <c r="L5" s="38"/>
      <c r="M5" s="38"/>
      <c r="N5" s="38"/>
      <c r="O5" s="38"/>
      <c r="P5" s="39"/>
      <c r="U5" s="1" t="s">
        <v>36</v>
      </c>
    </row>
    <row r="6" spans="1:21" x14ac:dyDescent="0.2">
      <c r="B6" s="4" t="s">
        <v>3</v>
      </c>
      <c r="C6" s="5">
        <v>14.41</v>
      </c>
      <c r="D6" s="6"/>
      <c r="G6" s="18"/>
      <c r="H6" s="14"/>
      <c r="I6" s="14"/>
      <c r="J6" s="14"/>
      <c r="K6" s="14"/>
      <c r="L6" s="14"/>
      <c r="M6" s="14"/>
      <c r="N6" s="14"/>
      <c r="O6" s="14"/>
      <c r="P6" s="15"/>
    </row>
    <row r="7" spans="1:21" x14ac:dyDescent="0.2">
      <c r="B7" s="4" t="s">
        <v>4</v>
      </c>
      <c r="C7" s="7">
        <v>171</v>
      </c>
      <c r="D7" s="6" t="s">
        <v>40</v>
      </c>
      <c r="G7" s="18"/>
      <c r="H7" s="14"/>
      <c r="I7" s="14"/>
      <c r="J7" s="14"/>
      <c r="K7" s="14"/>
      <c r="L7" s="14"/>
      <c r="M7" s="14"/>
      <c r="N7" s="14"/>
      <c r="O7" s="14"/>
      <c r="P7" s="15"/>
    </row>
    <row r="8" spans="1:21" x14ac:dyDescent="0.2">
      <c r="B8" s="4" t="s">
        <v>5</v>
      </c>
      <c r="C8" s="7">
        <f>C6*C7</f>
        <v>2464.11</v>
      </c>
      <c r="D8" s="6"/>
      <c r="G8" s="18"/>
      <c r="H8" s="14"/>
      <c r="I8" s="14"/>
      <c r="J8" s="14"/>
      <c r="K8" s="14"/>
      <c r="L8" s="14"/>
      <c r="M8" s="14"/>
      <c r="N8" s="14"/>
      <c r="O8" s="14"/>
      <c r="P8" s="15"/>
    </row>
    <row r="9" spans="1:21" x14ac:dyDescent="0.2">
      <c r="B9" s="4" t="s">
        <v>6</v>
      </c>
      <c r="C9" s="7">
        <f>+'Financial Model'!M70</f>
        <v>199.19299999999998</v>
      </c>
      <c r="D9" s="6" t="s">
        <v>40</v>
      </c>
      <c r="G9" s="18"/>
      <c r="H9" s="14"/>
      <c r="I9" s="14"/>
      <c r="J9" s="14"/>
      <c r="K9" s="14"/>
      <c r="L9" s="14"/>
      <c r="M9" s="14"/>
      <c r="N9" s="14"/>
      <c r="O9" s="14"/>
      <c r="P9" s="15"/>
    </row>
    <row r="10" spans="1:21" x14ac:dyDescent="0.2">
      <c r="B10" s="4" t="s">
        <v>7</v>
      </c>
      <c r="C10" s="7">
        <f>+'Financial Model'!M71</f>
        <v>1205.375</v>
      </c>
      <c r="D10" s="6" t="s">
        <v>40</v>
      </c>
      <c r="G10" s="18"/>
      <c r="H10" s="14"/>
      <c r="I10" s="14"/>
      <c r="J10" s="14"/>
      <c r="K10" s="14"/>
      <c r="L10" s="14"/>
      <c r="M10" s="14"/>
      <c r="N10" s="14"/>
      <c r="O10" s="14"/>
      <c r="P10" s="15"/>
    </row>
    <row r="11" spans="1:21" x14ac:dyDescent="0.2">
      <c r="B11" s="4" t="s">
        <v>8</v>
      </c>
      <c r="C11" s="7">
        <f>C9-C10</f>
        <v>-1006.182</v>
      </c>
      <c r="D11" s="6" t="s">
        <v>40</v>
      </c>
      <c r="G11" s="18"/>
      <c r="H11" s="14"/>
      <c r="I11" s="14"/>
      <c r="J11" s="14"/>
      <c r="K11" s="14"/>
      <c r="L11" s="14"/>
      <c r="M11" s="14"/>
      <c r="N11" s="14"/>
      <c r="O11" s="14"/>
      <c r="P11" s="15"/>
    </row>
    <row r="12" spans="1:21" x14ac:dyDescent="0.2">
      <c r="B12" s="8" t="s">
        <v>9</v>
      </c>
      <c r="C12" s="9">
        <f>C8-C11</f>
        <v>3470.2920000000004</v>
      </c>
      <c r="D12" s="10"/>
      <c r="G12" s="18"/>
      <c r="H12" s="14"/>
      <c r="I12" s="14"/>
      <c r="J12" s="14"/>
      <c r="K12" s="14"/>
      <c r="L12" s="14"/>
      <c r="M12" s="14"/>
      <c r="N12" s="14"/>
      <c r="O12" s="14"/>
      <c r="P12" s="15"/>
    </row>
    <row r="13" spans="1:21" x14ac:dyDescent="0.2">
      <c r="G13" s="18"/>
      <c r="H13" s="14"/>
      <c r="I13" s="14"/>
      <c r="J13" s="14"/>
      <c r="K13" s="14"/>
      <c r="L13" s="14"/>
      <c r="M13" s="14"/>
      <c r="N13" s="14"/>
      <c r="O13" s="14"/>
      <c r="P13" s="15"/>
    </row>
    <row r="14" spans="1:21" x14ac:dyDescent="0.2">
      <c r="G14" s="18"/>
      <c r="H14" s="14"/>
      <c r="I14" s="14"/>
      <c r="J14" s="14"/>
      <c r="K14" s="14"/>
      <c r="L14" s="14"/>
      <c r="M14" s="14"/>
      <c r="N14" s="14"/>
      <c r="O14" s="14"/>
      <c r="P14" s="15"/>
    </row>
    <row r="15" spans="1:21" x14ac:dyDescent="0.2">
      <c r="B15" s="37" t="s">
        <v>10</v>
      </c>
      <c r="C15" s="38"/>
      <c r="D15" s="39"/>
      <c r="G15" s="18"/>
      <c r="H15" s="14"/>
      <c r="I15" s="14"/>
      <c r="J15" s="14"/>
      <c r="K15" s="14"/>
      <c r="L15" s="14"/>
      <c r="M15" s="14"/>
      <c r="N15" s="14"/>
      <c r="O15" s="14"/>
      <c r="P15" s="15"/>
    </row>
    <row r="16" spans="1:21" x14ac:dyDescent="0.2">
      <c r="A16" s="23">
        <v>44200</v>
      </c>
      <c r="B16" s="11" t="s">
        <v>11</v>
      </c>
      <c r="C16" s="42" t="s">
        <v>39</v>
      </c>
      <c r="D16" s="43"/>
      <c r="G16" s="18"/>
      <c r="H16" s="14"/>
      <c r="I16" s="14"/>
      <c r="J16" s="14"/>
      <c r="K16" s="14"/>
      <c r="L16" s="14"/>
      <c r="M16" s="14"/>
      <c r="N16" s="14"/>
      <c r="O16" s="14"/>
      <c r="P16" s="15"/>
    </row>
    <row r="17" spans="2:16" x14ac:dyDescent="0.2">
      <c r="B17" s="11" t="s">
        <v>12</v>
      </c>
      <c r="C17" s="42"/>
      <c r="D17" s="43"/>
      <c r="G17" s="18"/>
      <c r="H17" s="14"/>
      <c r="I17" s="14"/>
      <c r="J17" s="14"/>
      <c r="K17" s="14"/>
      <c r="L17" s="14"/>
      <c r="M17" s="14"/>
      <c r="N17" s="14"/>
      <c r="O17" s="14"/>
      <c r="P17" s="15"/>
    </row>
    <row r="18" spans="2:16" x14ac:dyDescent="0.2">
      <c r="B18" s="11" t="s">
        <v>13</v>
      </c>
      <c r="C18" s="42"/>
      <c r="D18" s="43"/>
      <c r="G18" s="18"/>
      <c r="H18" s="14"/>
      <c r="I18" s="14"/>
      <c r="J18" s="14"/>
      <c r="K18" s="14"/>
      <c r="L18" s="14"/>
      <c r="M18" s="14"/>
      <c r="N18" s="14"/>
      <c r="O18" s="14"/>
      <c r="P18" s="15"/>
    </row>
    <row r="19" spans="2:16" x14ac:dyDescent="0.2">
      <c r="B19" s="13" t="s">
        <v>14</v>
      </c>
      <c r="C19" s="40"/>
      <c r="D19" s="41"/>
      <c r="G19" s="18"/>
      <c r="H19" s="14"/>
      <c r="I19" s="14"/>
      <c r="J19" s="14"/>
      <c r="K19" s="14"/>
      <c r="L19" s="14"/>
      <c r="M19" s="14"/>
      <c r="N19" s="14"/>
      <c r="O19" s="14"/>
      <c r="P19" s="15"/>
    </row>
    <row r="20" spans="2:16" x14ac:dyDescent="0.2">
      <c r="G20" s="18"/>
      <c r="H20" s="14"/>
      <c r="I20" s="14"/>
      <c r="J20" s="14"/>
      <c r="K20" s="14"/>
      <c r="L20" s="14"/>
      <c r="M20" s="14"/>
      <c r="N20" s="14"/>
      <c r="O20" s="14"/>
      <c r="P20" s="15"/>
    </row>
    <row r="21" spans="2:16" x14ac:dyDescent="0.2">
      <c r="G21" s="18"/>
      <c r="H21" s="14"/>
      <c r="I21" s="14"/>
      <c r="J21" s="14"/>
      <c r="K21" s="14"/>
      <c r="L21" s="14"/>
      <c r="M21" s="14"/>
      <c r="N21" s="14"/>
      <c r="O21" s="14"/>
      <c r="P21" s="15"/>
    </row>
    <row r="22" spans="2:16" x14ac:dyDescent="0.2">
      <c r="B22" s="37" t="s">
        <v>23</v>
      </c>
      <c r="C22" s="38"/>
      <c r="D22" s="39"/>
      <c r="G22" s="19">
        <v>44501</v>
      </c>
      <c r="H22" s="21" t="s">
        <v>33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2">
      <c r="B23" s="18" t="s">
        <v>15</v>
      </c>
      <c r="C23" s="42" t="s">
        <v>18</v>
      </c>
      <c r="D23" s="43"/>
      <c r="G23" s="18"/>
      <c r="H23" s="22" t="s">
        <v>34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2">
      <c r="B24" s="18" t="s">
        <v>16</v>
      </c>
      <c r="C24" s="42">
        <v>1999</v>
      </c>
      <c r="D24" s="43"/>
      <c r="G24" s="18"/>
      <c r="H24" s="22" t="s">
        <v>35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2">
      <c r="B25" s="18" t="s">
        <v>17</v>
      </c>
      <c r="C25" s="42">
        <v>2018</v>
      </c>
      <c r="D25" s="43"/>
      <c r="G25" s="18"/>
      <c r="H25" s="14"/>
      <c r="I25" s="14"/>
      <c r="J25" s="14"/>
      <c r="K25" s="14"/>
      <c r="L25" s="14"/>
      <c r="M25" s="14"/>
      <c r="N25" s="14"/>
      <c r="O25" s="14"/>
      <c r="P25" s="15"/>
    </row>
    <row r="26" spans="2:16" x14ac:dyDescent="0.2">
      <c r="B26" s="18"/>
      <c r="C26" s="42"/>
      <c r="D26" s="43"/>
      <c r="G26" s="19">
        <v>44378</v>
      </c>
      <c r="H26" s="14" t="s">
        <v>37</v>
      </c>
      <c r="I26" s="14"/>
      <c r="J26" s="14"/>
      <c r="K26" s="14"/>
      <c r="L26" s="14"/>
      <c r="M26" s="14"/>
      <c r="N26" s="14"/>
      <c r="O26" s="14"/>
      <c r="P26" s="15"/>
    </row>
    <row r="27" spans="2:16" x14ac:dyDescent="0.2">
      <c r="B27" s="18" t="s">
        <v>31</v>
      </c>
      <c r="C27" s="49">
        <f>+'Financial Model'!S31</f>
        <v>2103</v>
      </c>
      <c r="D27" s="43"/>
      <c r="G27" s="18"/>
      <c r="H27" s="14"/>
      <c r="I27" s="14"/>
      <c r="J27" s="14"/>
      <c r="K27" s="14"/>
      <c r="L27" s="14"/>
      <c r="M27" s="14"/>
      <c r="N27" s="14"/>
      <c r="O27" s="14"/>
      <c r="P27" s="15"/>
    </row>
    <row r="28" spans="2:16" x14ac:dyDescent="0.2">
      <c r="B28" s="18"/>
      <c r="C28" s="42"/>
      <c r="D28" s="43"/>
      <c r="G28" s="18"/>
      <c r="H28" s="14"/>
      <c r="I28" s="14"/>
      <c r="J28" s="14"/>
      <c r="K28" s="14"/>
      <c r="L28" s="14"/>
      <c r="M28" s="14"/>
      <c r="N28" s="14"/>
      <c r="O28" s="14"/>
      <c r="P28" s="15"/>
    </row>
    <row r="29" spans="2:16" x14ac:dyDescent="0.2">
      <c r="B29" s="18" t="s">
        <v>20</v>
      </c>
      <c r="C29" s="12" t="s">
        <v>40</v>
      </c>
      <c r="D29" s="48">
        <f>+'Financial Model'!M3</f>
        <v>45597</v>
      </c>
      <c r="G29" s="19">
        <v>44166</v>
      </c>
      <c r="H29" s="14" t="s">
        <v>38</v>
      </c>
      <c r="I29" s="14"/>
      <c r="J29" s="14"/>
      <c r="K29" s="14"/>
      <c r="L29" s="14"/>
      <c r="M29" s="14"/>
      <c r="N29" s="14"/>
      <c r="O29" s="14"/>
      <c r="P29" s="15"/>
    </row>
    <row r="30" spans="2:16" x14ac:dyDescent="0.2">
      <c r="B30" s="20" t="s">
        <v>21</v>
      </c>
      <c r="C30" s="40" t="s">
        <v>22</v>
      </c>
      <c r="D30" s="41"/>
      <c r="G30" s="20"/>
      <c r="H30" s="16"/>
      <c r="I30" s="16"/>
      <c r="J30" s="16"/>
      <c r="K30" s="16"/>
      <c r="L30" s="16"/>
      <c r="M30" s="16"/>
      <c r="N30" s="16"/>
      <c r="O30" s="16"/>
      <c r="P30" s="17"/>
    </row>
    <row r="33" spans="2:4" x14ac:dyDescent="0.2">
      <c r="B33" s="37" t="s">
        <v>24</v>
      </c>
      <c r="C33" s="38"/>
      <c r="D33" s="39"/>
    </row>
    <row r="34" spans="2:4" x14ac:dyDescent="0.2">
      <c r="B34" s="18" t="s">
        <v>25</v>
      </c>
      <c r="C34" s="46">
        <f>+C6/'Financial Model'!M68</f>
        <v>1.8366805608184922</v>
      </c>
      <c r="D34" s="47"/>
    </row>
    <row r="35" spans="2:4" x14ac:dyDescent="0.2">
      <c r="B35" s="18" t="s">
        <v>26</v>
      </c>
      <c r="C35" s="46">
        <f>+C8/SUM('Financial Model'!J7:M7)</f>
        <v>3.140093663385263</v>
      </c>
      <c r="D35" s="47"/>
    </row>
    <row r="36" spans="2:4" x14ac:dyDescent="0.2">
      <c r="B36" s="18" t="s">
        <v>27</v>
      </c>
      <c r="C36" s="46">
        <f>+C12/SUM('Financial Model'!J7:M7)</f>
        <v>4.4223033546783919</v>
      </c>
      <c r="D36" s="47"/>
    </row>
    <row r="37" spans="2:4" x14ac:dyDescent="0.2">
      <c r="B37" s="18" t="s">
        <v>28</v>
      </c>
      <c r="C37" s="46">
        <f>+C6/SUM('Financial Model'!J19:M19)</f>
        <v>29.98923685611501</v>
      </c>
      <c r="D37" s="47"/>
    </row>
    <row r="38" spans="2:4" x14ac:dyDescent="0.2">
      <c r="B38" s="18" t="s">
        <v>29</v>
      </c>
      <c r="C38" s="46">
        <f>+C12/SUM('Financial Model'!J18:M18)</f>
        <v>42.048854961832056</v>
      </c>
      <c r="D38" s="47"/>
    </row>
    <row r="39" spans="2:4" x14ac:dyDescent="0.2">
      <c r="B39" s="18" t="s">
        <v>123</v>
      </c>
      <c r="C39" s="46">
        <f>+C6/'Financial Model'!M93</f>
        <v>14.320732181228001</v>
      </c>
      <c r="D39" s="47"/>
    </row>
    <row r="40" spans="2:4" x14ac:dyDescent="0.2">
      <c r="B40" s="20" t="s">
        <v>30</v>
      </c>
      <c r="C40" s="40">
        <v>74</v>
      </c>
      <c r="D40" s="41"/>
    </row>
  </sheetData>
  <mergeCells count="23">
    <mergeCell ref="C34:D34"/>
    <mergeCell ref="C19:D19"/>
    <mergeCell ref="B22:D22"/>
    <mergeCell ref="C23:D23"/>
    <mergeCell ref="C24:D24"/>
    <mergeCell ref="C25:D25"/>
    <mergeCell ref="C26:D26"/>
    <mergeCell ref="G5:P5"/>
    <mergeCell ref="C27:D27"/>
    <mergeCell ref="C28:D28"/>
    <mergeCell ref="C30:D30"/>
    <mergeCell ref="B33:D33"/>
    <mergeCell ref="B5:D5"/>
    <mergeCell ref="B15:D15"/>
    <mergeCell ref="C16:D16"/>
    <mergeCell ref="C17:D17"/>
    <mergeCell ref="C18:D18"/>
    <mergeCell ref="C35:D35"/>
    <mergeCell ref="C36:D36"/>
    <mergeCell ref="C37:D37"/>
    <mergeCell ref="C38:D38"/>
    <mergeCell ref="C40:D40"/>
    <mergeCell ref="C39:D39"/>
  </mergeCells>
  <hyperlinks>
    <hyperlink ref="H22" r:id="rId1" xr:uid="{2BD897C7-B500-4A71-BE24-EF4CE68C1A7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714E-F330-46B9-B183-C1FDFBF38577}">
  <dimension ref="B1:Z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31" sqref="A31:XFD31"/>
    </sheetView>
  </sheetViews>
  <sheetFormatPr defaultRowHeight="12.75" x14ac:dyDescent="0.2"/>
  <cols>
    <col min="1" max="1" width="4.28515625" style="1" customWidth="1"/>
    <col min="2" max="2" width="17.5703125" style="1" bestFit="1" customWidth="1"/>
    <col min="3" max="16384" width="9.140625" style="1"/>
  </cols>
  <sheetData>
    <row r="1" spans="2:26" s="24" customFormat="1" x14ac:dyDescent="0.2">
      <c r="C1" s="24" t="s">
        <v>50</v>
      </c>
      <c r="D1" s="24" t="s">
        <v>49</v>
      </c>
      <c r="E1" s="24" t="s">
        <v>48</v>
      </c>
      <c r="F1" s="24" t="s">
        <v>47</v>
      </c>
      <c r="G1" s="24" t="s">
        <v>46</v>
      </c>
      <c r="H1" s="24" t="s">
        <v>45</v>
      </c>
      <c r="I1" s="24" t="s">
        <v>44</v>
      </c>
      <c r="J1" s="24" t="s">
        <v>43</v>
      </c>
      <c r="K1" s="25" t="s">
        <v>42</v>
      </c>
      <c r="L1" s="25" t="s">
        <v>41</v>
      </c>
      <c r="M1" s="25" t="s">
        <v>40</v>
      </c>
      <c r="N1" s="24" t="s">
        <v>122</v>
      </c>
      <c r="Q1" s="24" t="s">
        <v>112</v>
      </c>
      <c r="R1" s="24" t="s">
        <v>113</v>
      </c>
      <c r="S1" s="25" t="s">
        <v>114</v>
      </c>
      <c r="T1" s="24" t="s">
        <v>115</v>
      </c>
      <c r="U1" s="24" t="s">
        <v>116</v>
      </c>
      <c r="V1" s="24" t="s">
        <v>117</v>
      </c>
      <c r="W1" s="24" t="s">
        <v>118</v>
      </c>
      <c r="X1" s="24" t="s">
        <v>119</v>
      </c>
      <c r="Y1" s="24" t="s">
        <v>120</v>
      </c>
      <c r="Z1" s="24" t="s">
        <v>121</v>
      </c>
    </row>
    <row r="2" spans="2:26" s="27" customFormat="1" x14ac:dyDescent="0.2">
      <c r="B2" s="26"/>
      <c r="G2" s="29">
        <v>45016</v>
      </c>
      <c r="H2" s="29">
        <v>45107</v>
      </c>
      <c r="I2" s="27" t="s">
        <v>66</v>
      </c>
      <c r="J2" s="29">
        <f>+S2</f>
        <v>45291</v>
      </c>
      <c r="K2" s="29">
        <v>45382</v>
      </c>
      <c r="L2" s="29">
        <v>45473</v>
      </c>
      <c r="M2" s="29">
        <v>45565</v>
      </c>
      <c r="Q2" s="29">
        <v>44561</v>
      </c>
      <c r="R2" s="29">
        <v>44926</v>
      </c>
      <c r="S2" s="29">
        <v>45291</v>
      </c>
    </row>
    <row r="3" spans="2:26" s="27" customFormat="1" x14ac:dyDescent="0.2">
      <c r="B3" s="26"/>
      <c r="J3" s="28">
        <f>+S3</f>
        <v>45338</v>
      </c>
      <c r="K3" s="28">
        <v>45415</v>
      </c>
      <c r="L3" s="28">
        <v>45506</v>
      </c>
      <c r="M3" s="28">
        <v>45597</v>
      </c>
      <c r="S3" s="28">
        <v>45338</v>
      </c>
    </row>
    <row r="4" spans="2:26" s="32" customFormat="1" x14ac:dyDescent="0.2">
      <c r="B4" s="31" t="s">
        <v>51</v>
      </c>
      <c r="G4" s="32">
        <v>54.356999999999999</v>
      </c>
      <c r="H4" s="32">
        <v>53.389000000000003</v>
      </c>
      <c r="I4" s="32">
        <v>58.764000000000003</v>
      </c>
      <c r="J4" s="32">
        <f>+S4-SUM(G4:I4)</f>
        <v>67.725999999999971</v>
      </c>
      <c r="K4" s="32">
        <v>68.757000000000005</v>
      </c>
      <c r="L4" s="32">
        <v>70.033000000000001</v>
      </c>
      <c r="M4" s="32">
        <v>76.462999999999994</v>
      </c>
      <c r="Q4" s="32">
        <v>124.601</v>
      </c>
      <c r="R4" s="32">
        <v>167.67599999999999</v>
      </c>
      <c r="S4" s="32">
        <v>234.23599999999999</v>
      </c>
    </row>
    <row r="5" spans="2:26" s="32" customFormat="1" x14ac:dyDescent="0.2">
      <c r="B5" s="31" t="s">
        <v>74</v>
      </c>
      <c r="G5" s="32">
        <v>114.47799999999999</v>
      </c>
      <c r="H5" s="32">
        <v>116.056</v>
      </c>
      <c r="I5" s="32">
        <v>116.41500000000001</v>
      </c>
      <c r="J5" s="32">
        <f>+S5-SUM(G5:I5)</f>
        <v>115.12299999999999</v>
      </c>
      <c r="K5" s="32">
        <v>111.72</v>
      </c>
      <c r="L5" s="32">
        <v>110.306</v>
      </c>
      <c r="M5" s="32">
        <v>110.63200000000001</v>
      </c>
      <c r="Q5" s="32">
        <v>479.41500000000002</v>
      </c>
      <c r="R5" s="32">
        <v>458.90100000000001</v>
      </c>
      <c r="S5" s="32">
        <v>462.072</v>
      </c>
    </row>
    <row r="6" spans="2:26" s="32" customFormat="1" x14ac:dyDescent="0.2">
      <c r="B6" s="31" t="s">
        <v>53</v>
      </c>
      <c r="G6" s="32">
        <v>17.140999999999998</v>
      </c>
      <c r="H6" s="32">
        <v>15.589</v>
      </c>
      <c r="I6" s="32">
        <v>14.412000000000001</v>
      </c>
      <c r="J6" s="32">
        <f>+S6-SUM(G6:I6)</f>
        <v>15.290000000000006</v>
      </c>
      <c r="K6" s="32">
        <v>12.834</v>
      </c>
      <c r="L6" s="32">
        <v>12.911</v>
      </c>
      <c r="M6" s="32">
        <v>12.93</v>
      </c>
      <c r="Q6" s="32">
        <v>114.616</v>
      </c>
      <c r="R6" s="32">
        <v>92.79</v>
      </c>
      <c r="S6" s="32">
        <v>62.432000000000002</v>
      </c>
    </row>
    <row r="7" spans="2:26" s="33" customFormat="1" x14ac:dyDescent="0.2">
      <c r="B7" s="33" t="s">
        <v>52</v>
      </c>
      <c r="G7" s="33">
        <f>+G4+G5+G6</f>
        <v>185.97599999999997</v>
      </c>
      <c r="H7" s="33">
        <f>+H4+H5+H6</f>
        <v>185.03399999999999</v>
      </c>
      <c r="I7" s="33">
        <f>+I4+I5+I6</f>
        <v>189.59100000000001</v>
      </c>
      <c r="J7" s="33">
        <f>+J4+J5+J6</f>
        <v>198.13899999999995</v>
      </c>
      <c r="K7" s="33">
        <f>+K4+K5+K6</f>
        <v>193.31100000000001</v>
      </c>
      <c r="L7" s="33">
        <f>+L4+L5+L6</f>
        <v>193.25</v>
      </c>
      <c r="M7" s="33">
        <f>+M4+M5+M6</f>
        <v>200.02500000000001</v>
      </c>
      <c r="Q7" s="33">
        <f t="shared" ref="Q7:R7" si="0">+Q4+Q5+Q6</f>
        <v>718.63200000000006</v>
      </c>
      <c r="R7" s="33">
        <f t="shared" si="0"/>
        <v>719.36699999999996</v>
      </c>
      <c r="S7" s="33">
        <f>+S4+S5+S6</f>
        <v>758.74</v>
      </c>
    </row>
    <row r="8" spans="2:26" s="3" customFormat="1" x14ac:dyDescent="0.2">
      <c r="B8" s="3" t="s">
        <v>54</v>
      </c>
      <c r="G8" s="3">
        <v>21.83</v>
      </c>
      <c r="H8" s="3">
        <v>21.957999999999998</v>
      </c>
      <c r="I8" s="3">
        <v>17.957000000000001</v>
      </c>
      <c r="J8" s="3">
        <f>+S8-SUM(G8:I8)</f>
        <v>25.259999999999998</v>
      </c>
      <c r="K8" s="3">
        <v>20.835999999999999</v>
      </c>
      <c r="L8" s="3">
        <v>20.248000000000001</v>
      </c>
      <c r="M8" s="3">
        <v>19.692</v>
      </c>
      <c r="Q8" s="3">
        <v>227.01599999999999</v>
      </c>
      <c r="R8" s="3">
        <v>95.983000000000004</v>
      </c>
      <c r="S8" s="3">
        <v>87.004999999999995</v>
      </c>
    </row>
    <row r="9" spans="2:26" s="33" customFormat="1" x14ac:dyDescent="0.2">
      <c r="B9" s="33" t="s">
        <v>55</v>
      </c>
      <c r="G9" s="33">
        <f>+G7-G8</f>
        <v>164.14599999999996</v>
      </c>
      <c r="H9" s="33">
        <f>+H7-H8</f>
        <v>163.07599999999999</v>
      </c>
      <c r="I9" s="33">
        <f>+I7-I8</f>
        <v>171.63400000000001</v>
      </c>
      <c r="J9" s="33">
        <f>+J7-J8</f>
        <v>172.87899999999996</v>
      </c>
      <c r="K9" s="33">
        <f>+K7-K8</f>
        <v>172.47500000000002</v>
      </c>
      <c r="L9" s="33">
        <f>+L7-L8</f>
        <v>173.00200000000001</v>
      </c>
      <c r="M9" s="33">
        <f>+M7-M8</f>
        <v>180.333</v>
      </c>
      <c r="Q9" s="33">
        <f t="shared" ref="Q9:R9" si="1">+Q7-Q8</f>
        <v>491.6160000000001</v>
      </c>
      <c r="R9" s="33">
        <f t="shared" si="1"/>
        <v>623.38400000000001</v>
      </c>
      <c r="S9" s="33">
        <f>+S7-S8</f>
        <v>671.73500000000001</v>
      </c>
    </row>
    <row r="10" spans="2:26" s="3" customFormat="1" x14ac:dyDescent="0.2">
      <c r="B10" s="3" t="s">
        <v>56</v>
      </c>
      <c r="G10" s="3">
        <v>65.915999999999997</v>
      </c>
      <c r="H10" s="3">
        <v>59.838000000000001</v>
      </c>
      <c r="I10" s="3">
        <v>59.674999999999997</v>
      </c>
      <c r="J10" s="3">
        <f t="shared" ref="J10:J12" si="2">+S10-SUM(G10:I10)</f>
        <v>63.836000000000013</v>
      </c>
      <c r="K10" s="3">
        <v>54.920999999999999</v>
      </c>
      <c r="L10" s="3">
        <v>55.304000000000002</v>
      </c>
      <c r="M10" s="3">
        <v>56.954000000000001</v>
      </c>
      <c r="Q10" s="3">
        <v>236.38300000000001</v>
      </c>
      <c r="R10" s="3">
        <v>257.74599999999998</v>
      </c>
      <c r="S10" s="3">
        <v>249.26499999999999</v>
      </c>
    </row>
    <row r="11" spans="2:26" s="3" customFormat="1" x14ac:dyDescent="0.2">
      <c r="B11" s="3" t="s">
        <v>57</v>
      </c>
      <c r="G11" s="3">
        <v>23.791</v>
      </c>
      <c r="H11" s="3">
        <v>24.081</v>
      </c>
      <c r="I11" s="3">
        <v>27.308</v>
      </c>
      <c r="J11" s="3">
        <f t="shared" si="2"/>
        <v>24.992999999999995</v>
      </c>
      <c r="K11" s="3">
        <v>27.827999999999999</v>
      </c>
      <c r="L11" s="3">
        <v>26.399000000000001</v>
      </c>
      <c r="M11" s="3">
        <v>26.353999999999999</v>
      </c>
      <c r="Q11" s="3">
        <v>101.813</v>
      </c>
      <c r="R11" s="3">
        <v>92.33</v>
      </c>
      <c r="S11" s="3">
        <v>100.173</v>
      </c>
    </row>
    <row r="12" spans="2:26" s="3" customFormat="1" x14ac:dyDescent="0.2">
      <c r="B12" s="3" t="s">
        <v>58</v>
      </c>
      <c r="G12" s="3">
        <v>25.600999999999999</v>
      </c>
      <c r="H12" s="3">
        <v>34.417999999999999</v>
      </c>
      <c r="I12" s="3">
        <v>31.100999999999999</v>
      </c>
      <c r="J12" s="3">
        <f t="shared" si="2"/>
        <v>32.595999999999989</v>
      </c>
      <c r="K12" s="3">
        <v>31.308</v>
      </c>
      <c r="L12" s="3">
        <v>30.321000000000002</v>
      </c>
      <c r="M12" s="3">
        <v>32.563000000000002</v>
      </c>
      <c r="Q12" s="3">
        <v>130.977</v>
      </c>
      <c r="R12" s="3">
        <v>149.46100000000001</v>
      </c>
      <c r="S12" s="3">
        <v>123.71599999999999</v>
      </c>
    </row>
    <row r="13" spans="2:26" s="33" customFormat="1" x14ac:dyDescent="0.2">
      <c r="B13" s="33" t="s">
        <v>59</v>
      </c>
      <c r="G13" s="33">
        <f>+G9-SUM(G10:G12)</f>
        <v>48.837999999999965</v>
      </c>
      <c r="H13" s="33">
        <f>+H9-SUM(H10:H12)</f>
        <v>44.739000000000004</v>
      </c>
      <c r="I13" s="33">
        <f>+I9-SUM(I10:I12)</f>
        <v>53.550000000000011</v>
      </c>
      <c r="J13" s="33">
        <f>+J9-SUM(J10:J12)</f>
        <v>51.453999999999965</v>
      </c>
      <c r="K13" s="33">
        <f>+K9-SUM(K10:K12)</f>
        <v>58.418000000000035</v>
      </c>
      <c r="L13" s="33">
        <f>+L9-SUM(L10:L12)</f>
        <v>60.978000000000009</v>
      </c>
      <c r="M13" s="33">
        <f>+M9-SUM(M10:M12)</f>
        <v>64.462000000000003</v>
      </c>
      <c r="Q13" s="33">
        <f t="shared" ref="Q13:R13" si="3">+Q9-SUM(Q10:Q12)</f>
        <v>22.443000000000097</v>
      </c>
      <c r="R13" s="33">
        <f t="shared" si="3"/>
        <v>123.84700000000004</v>
      </c>
      <c r="S13" s="33">
        <f>+S9-SUM(S10:S12)</f>
        <v>198.58100000000002</v>
      </c>
    </row>
    <row r="14" spans="2:26" s="3" customFormat="1" x14ac:dyDescent="0.2">
      <c r="B14" s="3" t="s">
        <v>61</v>
      </c>
      <c r="G14" s="3">
        <v>-28.581</v>
      </c>
      <c r="H14" s="3">
        <v>-29.443000000000001</v>
      </c>
      <c r="I14" s="3">
        <v>-29.314</v>
      </c>
      <c r="J14" s="3">
        <f>+S14-SUM(G14:I14)</f>
        <v>-28.510000000000005</v>
      </c>
      <c r="K14" s="3">
        <v>-26.83</v>
      </c>
      <c r="L14" s="3">
        <v>-28.047000000000001</v>
      </c>
      <c r="M14" s="3">
        <f>-25.97</f>
        <v>-25.97</v>
      </c>
      <c r="Q14" s="3">
        <v>-64.522000000000006</v>
      </c>
      <c r="R14" s="3">
        <v>-83.373999999999995</v>
      </c>
      <c r="S14" s="3">
        <v>-115.848</v>
      </c>
    </row>
    <row r="15" spans="2:26" s="3" customFormat="1" x14ac:dyDescent="0.2">
      <c r="B15" s="3" t="s">
        <v>60</v>
      </c>
      <c r="G15" s="3">
        <v>-8.8999999999999996E-2</v>
      </c>
      <c r="H15" s="3">
        <v>1.2999999999999999E-2</v>
      </c>
      <c r="I15" s="3">
        <v>-0.121</v>
      </c>
      <c r="J15" s="3">
        <f>+S15-SUM(G15:I15)</f>
        <v>-0.189</v>
      </c>
      <c r="K15" s="3">
        <v>5.0999999999999997E-2</v>
      </c>
      <c r="L15" s="3">
        <v>-6.0999999999999999E-2</v>
      </c>
      <c r="M15" s="3">
        <v>-0.70399999999999996</v>
      </c>
      <c r="Q15" s="3">
        <v>0.45400000000000001</v>
      </c>
      <c r="R15" s="3">
        <v>-5.0739999999999998</v>
      </c>
      <c r="S15" s="3">
        <v>-0.38600000000000001</v>
      </c>
    </row>
    <row r="16" spans="2:26" s="3" customFormat="1" x14ac:dyDescent="0.2">
      <c r="B16" s="3" t="s">
        <v>62</v>
      </c>
      <c r="G16" s="3">
        <f>+G13+G14+G15</f>
        <v>20.167999999999967</v>
      </c>
      <c r="H16" s="3">
        <f>+H13+H14+H15</f>
        <v>15.309000000000003</v>
      </c>
      <c r="I16" s="3">
        <f>+I13+I14+I15</f>
        <v>24.115000000000013</v>
      </c>
      <c r="J16" s="3">
        <f>+J13+J14+J15</f>
        <v>22.75499999999996</v>
      </c>
      <c r="K16" s="3">
        <f>+K13+K14+K15</f>
        <v>31.639000000000035</v>
      </c>
      <c r="L16" s="3">
        <f>+L13+L14+L15</f>
        <v>32.870000000000012</v>
      </c>
      <c r="M16" s="3">
        <f>+M13+M14+M15</f>
        <v>37.788000000000004</v>
      </c>
      <c r="Q16" s="3">
        <f t="shared" ref="Q16:R16" si="4">+Q13+Q14+Q15</f>
        <v>-41.624999999999908</v>
      </c>
      <c r="R16" s="3">
        <f t="shared" si="4"/>
        <v>35.399000000000044</v>
      </c>
      <c r="S16" s="3">
        <f>+S13+S14+S15</f>
        <v>82.347000000000023</v>
      </c>
    </row>
    <row r="17" spans="2:19" s="3" customFormat="1" x14ac:dyDescent="0.2">
      <c r="B17" s="3" t="s">
        <v>63</v>
      </c>
      <c r="G17" s="3">
        <v>12.784000000000001</v>
      </c>
      <c r="H17" s="3">
        <v>2.9550000000000001</v>
      </c>
      <c r="I17" s="3">
        <v>12.262</v>
      </c>
      <c r="J17" s="3">
        <f>+S17-SUM(G17:I17)</f>
        <v>15.246999999999996</v>
      </c>
      <c r="K17" s="3">
        <v>4.5609999999999999</v>
      </c>
      <c r="L17" s="3">
        <v>10.273999999999999</v>
      </c>
      <c r="M17" s="3">
        <v>12.44</v>
      </c>
      <c r="Q17" s="3">
        <v>-32.469000000000001</v>
      </c>
      <c r="R17" s="3">
        <v>21.385999999999999</v>
      </c>
      <c r="S17" s="3">
        <v>43.247999999999998</v>
      </c>
    </row>
    <row r="18" spans="2:19" s="33" customFormat="1" x14ac:dyDescent="0.2">
      <c r="B18" s="33" t="s">
        <v>64</v>
      </c>
      <c r="G18" s="33">
        <f>+G16-G17</f>
        <v>7.3839999999999666</v>
      </c>
      <c r="H18" s="33">
        <f>+H16-H17</f>
        <v>12.354000000000003</v>
      </c>
      <c r="I18" s="33">
        <f>+I16-I17</f>
        <v>11.853000000000012</v>
      </c>
      <c r="J18" s="33">
        <f>+J16-J17</f>
        <v>7.5079999999999636</v>
      </c>
      <c r="K18" s="33">
        <f>+K16-K17</f>
        <v>27.078000000000035</v>
      </c>
      <c r="L18" s="33">
        <f>+L16-L17</f>
        <v>22.596000000000011</v>
      </c>
      <c r="M18" s="33">
        <f>+M16-M17</f>
        <v>25.348000000000006</v>
      </c>
      <c r="Q18" s="33">
        <f t="shared" ref="Q18:R18" si="5">+Q16-Q17</f>
        <v>-9.1559999999999064</v>
      </c>
      <c r="R18" s="33">
        <f t="shared" si="5"/>
        <v>14.013000000000044</v>
      </c>
      <c r="S18" s="33">
        <f>+S16-S17</f>
        <v>39.099000000000025</v>
      </c>
    </row>
    <row r="19" spans="2:19" s="30" customFormat="1" x14ac:dyDescent="0.2">
      <c r="B19" s="30" t="s">
        <v>65</v>
      </c>
      <c r="G19" s="30">
        <f>+G18/G20</f>
        <v>4.5363788834757404E-2</v>
      </c>
      <c r="H19" s="30">
        <f>+H18/H20</f>
        <v>7.4697979272731682E-2</v>
      </c>
      <c r="I19" s="30">
        <f>+I18/I20</f>
        <v>7.1716835577068594E-2</v>
      </c>
      <c r="J19" s="30">
        <f>+J18/J20</f>
        <v>4.560501971074684E-2</v>
      </c>
      <c r="K19" s="30">
        <f>+K18/K20</f>
        <v>0.15819453288854893</v>
      </c>
      <c r="L19" s="30">
        <f>+L18/L20</f>
        <v>0.13094424033101151</v>
      </c>
      <c r="M19" s="30">
        <f>+M18/M20</f>
        <v>0.1457619321449109</v>
      </c>
      <c r="Q19" s="30">
        <f>+Q18/Q20</f>
        <v>-5.7934700075929553E-2</v>
      </c>
      <c r="R19" s="30">
        <f>+R18/R20</f>
        <v>8.7123308111737949E-2</v>
      </c>
      <c r="S19" s="30">
        <f>+S18/S20</f>
        <v>0.23749476101098838</v>
      </c>
    </row>
    <row r="20" spans="2:19" s="44" customFormat="1" x14ac:dyDescent="0.2">
      <c r="B20" s="44" t="s">
        <v>4</v>
      </c>
      <c r="G20" s="44">
        <v>162.773</v>
      </c>
      <c r="H20" s="44">
        <v>165.386</v>
      </c>
      <c r="I20" s="44">
        <v>165.27500000000001</v>
      </c>
      <c r="J20" s="44">
        <f>+S20</f>
        <v>164.631</v>
      </c>
      <c r="K20" s="44">
        <v>171.16900000000001</v>
      </c>
      <c r="L20" s="44">
        <v>172.56200000000001</v>
      </c>
      <c r="M20" s="44">
        <v>173.9</v>
      </c>
      <c r="Q20" s="44">
        <v>158.04</v>
      </c>
      <c r="R20" s="44">
        <v>160.84100000000001</v>
      </c>
      <c r="S20" s="44">
        <v>164.631</v>
      </c>
    </row>
    <row r="22" spans="2:19" s="35" customFormat="1" x14ac:dyDescent="0.2">
      <c r="B22" s="35" t="s">
        <v>67</v>
      </c>
      <c r="G22" s="35">
        <f>+G9/G7</f>
        <v>0.88261926270056346</v>
      </c>
      <c r="H22" s="35">
        <f>+H9/H7</f>
        <v>0.88132991774484692</v>
      </c>
      <c r="I22" s="35">
        <f>+I9/I7</f>
        <v>0.90528558845092866</v>
      </c>
      <c r="J22" s="35">
        <f>+J9/J7</f>
        <v>0.87251374035399398</v>
      </c>
      <c r="K22" s="35">
        <f>+K9/K7</f>
        <v>0.89221513519665208</v>
      </c>
      <c r="L22" s="35">
        <f>+L9/L7</f>
        <v>0.89522380336351881</v>
      </c>
      <c r="M22" s="35">
        <f>+M9/M7</f>
        <v>0.90155230596175473</v>
      </c>
      <c r="Q22" s="35">
        <f>+Q9/Q7</f>
        <v>0.68409978960024054</v>
      </c>
      <c r="R22" s="35">
        <f>+R9/R7</f>
        <v>0.86657297318336823</v>
      </c>
      <c r="S22" s="35">
        <f>+S9/S7</f>
        <v>0.88532962543163662</v>
      </c>
    </row>
    <row r="23" spans="2:19" s="35" customFormat="1" x14ac:dyDescent="0.2">
      <c r="B23" s="35" t="s">
        <v>68</v>
      </c>
      <c r="G23" s="35">
        <f>+G13/G7</f>
        <v>0.26260377683141894</v>
      </c>
      <c r="H23" s="35">
        <f>+H13/H7</f>
        <v>0.24178799571970561</v>
      </c>
      <c r="I23" s="35">
        <f>+I13/I7</f>
        <v>0.28245011630298911</v>
      </c>
      <c r="J23" s="35">
        <f>+J13/J7</f>
        <v>0.25968638178248593</v>
      </c>
      <c r="K23" s="35">
        <f>+K13/K7</f>
        <v>0.3021969779267607</v>
      </c>
      <c r="L23" s="35">
        <f>+L13/L7</f>
        <v>0.3155394566623545</v>
      </c>
      <c r="M23" s="35">
        <f>+M13/M7</f>
        <v>0.3222697162854643</v>
      </c>
      <c r="Q23" s="35">
        <f>+Q13/Q7</f>
        <v>3.1230170657582872E-2</v>
      </c>
      <c r="R23" s="35">
        <f>+R13/R7</f>
        <v>0.17216108050550002</v>
      </c>
      <c r="S23" s="35">
        <f>+S13/S7</f>
        <v>0.26172470147876747</v>
      </c>
    </row>
    <row r="24" spans="2:19" s="35" customFormat="1" x14ac:dyDescent="0.2">
      <c r="B24" s="35" t="s">
        <v>69</v>
      </c>
      <c r="G24" s="35">
        <f>+G18/G7</f>
        <v>3.970404783412896E-2</v>
      </c>
      <c r="H24" s="35">
        <f>+H18/H7</f>
        <v>6.6766107850449119E-2</v>
      </c>
      <c r="I24" s="35">
        <f>+I18/I7</f>
        <v>6.2518790448913772E-2</v>
      </c>
      <c r="J24" s="35">
        <f>+J18/J7</f>
        <v>3.7892590555115173E-2</v>
      </c>
      <c r="K24" s="35">
        <f>+K18/K7</f>
        <v>0.14007480174433962</v>
      </c>
      <c r="L24" s="35">
        <f>+L18/L7</f>
        <v>0.11692626131953433</v>
      </c>
      <c r="M24" s="35">
        <f>+M18/M7</f>
        <v>0.12672415948006502</v>
      </c>
      <c r="Q24" s="35">
        <f>+Q18/Q7</f>
        <v>-1.2740874327889526E-2</v>
      </c>
      <c r="R24" s="35">
        <f>+R18/R7</f>
        <v>1.947962583771572E-2</v>
      </c>
      <c r="S24" s="35">
        <f>+S18/S7</f>
        <v>5.1531486411682557E-2</v>
      </c>
    </row>
    <row r="25" spans="2:19" s="35" customFormat="1" x14ac:dyDescent="0.2">
      <c r="B25" s="35" t="s">
        <v>70</v>
      </c>
      <c r="G25" s="35">
        <f>+G17/G16</f>
        <v>0.63387544625148862</v>
      </c>
      <c r="H25" s="35">
        <f>+H17/H16</f>
        <v>0.19302371154223003</v>
      </c>
      <c r="I25" s="35">
        <f>+I17/I16</f>
        <v>0.50848019904623654</v>
      </c>
      <c r="J25" s="35">
        <f>+J17/J16</f>
        <v>0.67005053834322226</v>
      </c>
      <c r="K25" s="35">
        <f>+K17/K16</f>
        <v>0.14415752710262633</v>
      </c>
      <c r="L25" s="35">
        <f>+L17/L16</f>
        <v>0.31256464861575889</v>
      </c>
      <c r="M25" s="35">
        <f>+M17/M16</f>
        <v>0.32920503863660416</v>
      </c>
      <c r="Q25" s="35">
        <f>+Q17/Q16</f>
        <v>0.78003603603603777</v>
      </c>
      <c r="R25" s="35">
        <f>+R17/R16</f>
        <v>0.60414135992542084</v>
      </c>
      <c r="S25" s="35">
        <f>+S17/S16</f>
        <v>0.52519217457830869</v>
      </c>
    </row>
    <row r="27" spans="2:19" s="34" customFormat="1" x14ac:dyDescent="0.2">
      <c r="B27" s="34" t="s">
        <v>71</v>
      </c>
      <c r="K27" s="34">
        <f>+K7/G7-1</f>
        <v>3.9440572977158528E-2</v>
      </c>
      <c r="L27" s="34">
        <f>+L7/H7-1</f>
        <v>4.4402650323724258E-2</v>
      </c>
      <c r="M27" s="34">
        <f>+M7/I7-1</f>
        <v>5.5034257955282717E-2</v>
      </c>
      <c r="R27" s="34">
        <f>+R7/Q7-1</f>
        <v>1.0227766088901635E-3</v>
      </c>
      <c r="S27" s="34">
        <f>+S7/R7-1</f>
        <v>5.47328415120516E-2</v>
      </c>
    </row>
    <row r="28" spans="2:19" s="35" customFormat="1" x14ac:dyDescent="0.2">
      <c r="B28" s="35" t="s">
        <v>72</v>
      </c>
      <c r="H28" s="35">
        <f>+H7/G7-1</f>
        <v>-5.065169699315919E-3</v>
      </c>
      <c r="I28" s="35">
        <f>+I7/H7-1</f>
        <v>2.4627906222640217E-2</v>
      </c>
      <c r="J28" s="35">
        <f>+J7/I7-1</f>
        <v>4.508652836896232E-2</v>
      </c>
      <c r="K28" s="35">
        <f>+K7/J7-1</f>
        <v>-2.4366732445404216E-2</v>
      </c>
      <c r="L28" s="35">
        <f>+L7/K7-1</f>
        <v>-3.1555369327151972E-4</v>
      </c>
      <c r="M28" s="35">
        <f>+M7/L7-1</f>
        <v>3.5058214747736072E-2</v>
      </c>
    </row>
    <row r="30" spans="2:19" x14ac:dyDescent="0.2">
      <c r="B30" s="36" t="s">
        <v>124</v>
      </c>
    </row>
    <row r="31" spans="2:19" s="3" customFormat="1" x14ac:dyDescent="0.2">
      <c r="B31" s="3" t="s">
        <v>126</v>
      </c>
      <c r="S31" s="3">
        <v>2103</v>
      </c>
    </row>
    <row r="32" spans="2:19" x14ac:dyDescent="0.2">
      <c r="B32" s="1" t="s">
        <v>125</v>
      </c>
    </row>
    <row r="35" spans="2:13" x14ac:dyDescent="0.2">
      <c r="B35" s="36" t="s">
        <v>73</v>
      </c>
    </row>
    <row r="36" spans="2:13" s="33" customFormat="1" x14ac:dyDescent="0.2">
      <c r="B36" s="33" t="s">
        <v>6</v>
      </c>
      <c r="M36" s="33">
        <v>193.017</v>
      </c>
    </row>
    <row r="37" spans="2:13" s="33" customFormat="1" x14ac:dyDescent="0.2">
      <c r="B37" s="33" t="s">
        <v>75</v>
      </c>
      <c r="M37" s="33">
        <v>6.1760000000000002</v>
      </c>
    </row>
    <row r="38" spans="2:13" s="3" customFormat="1" x14ac:dyDescent="0.2">
      <c r="B38" s="3" t="s">
        <v>76</v>
      </c>
      <c r="M38" s="3">
        <v>100.188</v>
      </c>
    </row>
    <row r="39" spans="2:13" s="3" customFormat="1" x14ac:dyDescent="0.2">
      <c r="B39" s="3" t="s">
        <v>77</v>
      </c>
      <c r="M39" s="3">
        <v>1.4259999999999999</v>
      </c>
    </row>
    <row r="40" spans="2:13" s="3" customFormat="1" x14ac:dyDescent="0.2">
      <c r="B40" s="3" t="s">
        <v>78</v>
      </c>
      <c r="M40" s="3">
        <v>25.032</v>
      </c>
    </row>
    <row r="41" spans="2:13" s="3" customFormat="1" x14ac:dyDescent="0.2">
      <c r="B41" s="3" t="s">
        <v>79</v>
      </c>
      <c r="M41" s="3">
        <f>+SUM(M36:M40)</f>
        <v>325.83899999999994</v>
      </c>
    </row>
    <row r="42" spans="2:13" s="3" customFormat="1" x14ac:dyDescent="0.2">
      <c r="B42" s="3" t="s">
        <v>81</v>
      </c>
      <c r="M42" s="3">
        <v>17.21</v>
      </c>
    </row>
    <row r="43" spans="2:13" s="3" customFormat="1" x14ac:dyDescent="0.2">
      <c r="B43" s="3" t="s">
        <v>82</v>
      </c>
      <c r="M43" s="3">
        <v>34.325000000000003</v>
      </c>
    </row>
    <row r="44" spans="2:13" s="3" customFormat="1" x14ac:dyDescent="0.2">
      <c r="B44" s="3" t="s">
        <v>80</v>
      </c>
      <c r="M44" s="3">
        <v>137.93100000000001</v>
      </c>
    </row>
    <row r="45" spans="2:13" s="3" customFormat="1" x14ac:dyDescent="0.2">
      <c r="B45" s="3" t="s">
        <v>83</v>
      </c>
      <c r="M45" s="3">
        <f>2405.876+143.764</f>
        <v>2549.6400000000003</v>
      </c>
    </row>
    <row r="46" spans="2:13" s="3" customFormat="1" x14ac:dyDescent="0.2">
      <c r="B46" s="3" t="s">
        <v>84</v>
      </c>
      <c r="M46" s="3">
        <v>53.478999999999999</v>
      </c>
    </row>
    <row r="47" spans="2:13" s="3" customFormat="1" x14ac:dyDescent="0.2">
      <c r="B47" s="3" t="s">
        <v>85</v>
      </c>
      <c r="M47" s="3">
        <f>+SUM(M41:M46)</f>
        <v>3118.424</v>
      </c>
    </row>
    <row r="48" spans="2:13" s="3" customFormat="1" x14ac:dyDescent="0.2"/>
    <row r="49" spans="2:13" s="3" customFormat="1" x14ac:dyDescent="0.2">
      <c r="B49" s="3" t="s">
        <v>86</v>
      </c>
      <c r="M49" s="3">
        <v>9.4060000000000006</v>
      </c>
    </row>
    <row r="50" spans="2:13" s="3" customFormat="1" x14ac:dyDescent="0.2">
      <c r="B50" s="3" t="s">
        <v>87</v>
      </c>
      <c r="M50" s="3">
        <v>44.347999999999999</v>
      </c>
    </row>
    <row r="51" spans="2:13" s="3" customFormat="1" x14ac:dyDescent="0.2">
      <c r="B51" s="3" t="s">
        <v>88</v>
      </c>
      <c r="M51" s="3">
        <v>14.224</v>
      </c>
    </row>
    <row r="52" spans="2:13" s="33" customFormat="1" x14ac:dyDescent="0.2">
      <c r="B52" s="33" t="s">
        <v>89</v>
      </c>
      <c r="M52" s="33">
        <v>0.26200000000000001</v>
      </c>
    </row>
    <row r="53" spans="2:13" s="3" customFormat="1" x14ac:dyDescent="0.2">
      <c r="B53" s="3" t="s">
        <v>90</v>
      </c>
      <c r="M53" s="3">
        <v>44.335000000000001</v>
      </c>
    </row>
    <row r="54" spans="2:13" s="3" customFormat="1" x14ac:dyDescent="0.2">
      <c r="B54" s="3" t="s">
        <v>91</v>
      </c>
      <c r="M54" s="3">
        <v>335.38400000000001</v>
      </c>
    </row>
    <row r="55" spans="2:13" s="33" customFormat="1" x14ac:dyDescent="0.2">
      <c r="B55" s="33" t="s">
        <v>92</v>
      </c>
      <c r="M55" s="33">
        <v>9.2669999999999995</v>
      </c>
    </row>
    <row r="56" spans="2:13" s="3" customFormat="1" x14ac:dyDescent="0.2">
      <c r="B56" s="3" t="s">
        <v>93</v>
      </c>
      <c r="M56" s="3">
        <f>+SUM(M49:M55)</f>
        <v>457.226</v>
      </c>
    </row>
    <row r="57" spans="2:13" s="3" customFormat="1" x14ac:dyDescent="0.2">
      <c r="B57" s="3" t="s">
        <v>94</v>
      </c>
      <c r="M57" s="3">
        <v>43.548000000000002</v>
      </c>
    </row>
    <row r="58" spans="2:13" s="3" customFormat="1" x14ac:dyDescent="0.2">
      <c r="B58" s="3" t="s">
        <v>80</v>
      </c>
      <c r="M58" s="3">
        <v>1.9550000000000001</v>
      </c>
    </row>
    <row r="59" spans="2:13" s="3" customFormat="1" x14ac:dyDescent="0.2">
      <c r="B59" s="3" t="s">
        <v>95</v>
      </c>
      <c r="M59" s="3">
        <v>39.9</v>
      </c>
    </row>
    <row r="60" spans="2:13" s="3" customFormat="1" x14ac:dyDescent="0.2">
      <c r="B60" s="3" t="s">
        <v>102</v>
      </c>
      <c r="M60" s="3">
        <v>15.586</v>
      </c>
    </row>
    <row r="61" spans="2:13" s="3" customFormat="1" x14ac:dyDescent="0.2">
      <c r="B61" s="33" t="s">
        <v>96</v>
      </c>
      <c r="M61" s="33">
        <v>1195.846</v>
      </c>
    </row>
    <row r="62" spans="2:13" s="3" customFormat="1" x14ac:dyDescent="0.2">
      <c r="B62" s="3" t="s">
        <v>97</v>
      </c>
      <c r="M62" s="3">
        <f>+SUM(M56:M61)</f>
        <v>1754.0610000000001</v>
      </c>
    </row>
    <row r="63" spans="2:13" s="3" customFormat="1" x14ac:dyDescent="0.2"/>
    <row r="64" spans="2:13" s="3" customFormat="1" x14ac:dyDescent="0.2">
      <c r="B64" s="3" t="s">
        <v>98</v>
      </c>
      <c r="M64" s="3">
        <v>1364.3630000000001</v>
      </c>
    </row>
    <row r="65" spans="2:13" s="3" customFormat="1" x14ac:dyDescent="0.2">
      <c r="B65" s="3" t="s">
        <v>99</v>
      </c>
      <c r="M65" s="3">
        <f>+M64+M62</f>
        <v>3118.424</v>
      </c>
    </row>
    <row r="67" spans="2:13" x14ac:dyDescent="0.2">
      <c r="B67" s="1" t="s">
        <v>100</v>
      </c>
      <c r="M67" s="3">
        <f>+M47-M62</f>
        <v>1364.3629999999998</v>
      </c>
    </row>
    <row r="68" spans="2:13" x14ac:dyDescent="0.2">
      <c r="B68" s="1" t="s">
        <v>101</v>
      </c>
      <c r="M68" s="1">
        <f>+M67/M20</f>
        <v>7.8456756756756745</v>
      </c>
    </row>
    <row r="70" spans="2:13" x14ac:dyDescent="0.2">
      <c r="B70" s="1" t="s">
        <v>6</v>
      </c>
      <c r="M70" s="3">
        <f>+M36+M37</f>
        <v>199.19299999999998</v>
      </c>
    </row>
    <row r="71" spans="2:13" x14ac:dyDescent="0.2">
      <c r="B71" s="1" t="s">
        <v>7</v>
      </c>
      <c r="M71" s="3">
        <f>+M61+M55+M52</f>
        <v>1205.375</v>
      </c>
    </row>
    <row r="72" spans="2:13" x14ac:dyDescent="0.2">
      <c r="B72" s="1" t="s">
        <v>8</v>
      </c>
      <c r="M72" s="3">
        <f>+M70-M71</f>
        <v>-1006.182</v>
      </c>
    </row>
    <row r="74" spans="2:13" x14ac:dyDescent="0.2">
      <c r="B74" s="1" t="s">
        <v>3</v>
      </c>
    </row>
    <row r="75" spans="2:13" x14ac:dyDescent="0.2">
      <c r="B75" s="1" t="s">
        <v>5</v>
      </c>
    </row>
    <row r="76" spans="2:13" x14ac:dyDescent="0.2">
      <c r="B76" s="1" t="s">
        <v>9</v>
      </c>
    </row>
    <row r="78" spans="2:13" x14ac:dyDescent="0.2">
      <c r="B78" s="1" t="s">
        <v>25</v>
      </c>
    </row>
    <row r="79" spans="2:13" x14ac:dyDescent="0.2">
      <c r="B79" s="1" t="s">
        <v>26</v>
      </c>
    </row>
    <row r="80" spans="2:13" x14ac:dyDescent="0.2">
      <c r="B80" s="1" t="s">
        <v>28</v>
      </c>
    </row>
    <row r="84" spans="2:19" x14ac:dyDescent="0.2">
      <c r="B84" s="36" t="s">
        <v>103</v>
      </c>
    </row>
    <row r="85" spans="2:19" x14ac:dyDescent="0.2">
      <c r="B85" s="1" t="s">
        <v>104</v>
      </c>
      <c r="G85" s="45">
        <f>+G18</f>
        <v>7.3839999999999666</v>
      </c>
      <c r="H85" s="45">
        <f>+H18</f>
        <v>12.354000000000003</v>
      </c>
      <c r="I85" s="45">
        <f>+I18</f>
        <v>11.853000000000012</v>
      </c>
      <c r="J85" s="45">
        <f>+J18</f>
        <v>7.5079999999999636</v>
      </c>
      <c r="K85" s="45">
        <f>+K18</f>
        <v>27.078000000000035</v>
      </c>
      <c r="L85" s="45">
        <f>+L18</f>
        <v>22.596000000000011</v>
      </c>
      <c r="M85" s="45">
        <f>+M18</f>
        <v>25.348000000000006</v>
      </c>
      <c r="Q85" s="3">
        <f>+Q18</f>
        <v>-9.1559999999999064</v>
      </c>
      <c r="R85" s="3">
        <f>+R18</f>
        <v>14.013000000000044</v>
      </c>
      <c r="S85" s="3">
        <f>+S18</f>
        <v>39.099000000000025</v>
      </c>
    </row>
    <row r="86" spans="2:19" x14ac:dyDescent="0.2">
      <c r="B86" s="1" t="s">
        <v>105</v>
      </c>
      <c r="G86" s="45">
        <v>-5.6210000000000004</v>
      </c>
      <c r="H86" s="45">
        <f>+-5.361-G86</f>
        <v>0.26000000000000068</v>
      </c>
      <c r="I86" s="45">
        <f>+-8.533-SUM(G86:H86)</f>
        <v>-3.1719999999999997</v>
      </c>
      <c r="J86" s="45">
        <f>+S86-SUM(G86:I86)</f>
        <v>-0.57600000000000051</v>
      </c>
      <c r="K86" s="45">
        <v>15.558999999999999</v>
      </c>
      <c r="L86" s="45">
        <f>26.663-K86</f>
        <v>11.104000000000001</v>
      </c>
      <c r="M86" s="45">
        <f>39.233-SUM(K86:L86)</f>
        <v>12.569999999999997</v>
      </c>
      <c r="Q86" s="3">
        <v>-64.47</v>
      </c>
      <c r="R86" s="3">
        <v>-929.41300000000001</v>
      </c>
      <c r="S86" s="3">
        <v>-9.109</v>
      </c>
    </row>
    <row r="87" spans="2:19" x14ac:dyDescent="0.2">
      <c r="G87" s="45"/>
      <c r="H87" s="45"/>
      <c r="I87" s="45"/>
      <c r="J87" s="45"/>
      <c r="K87" s="45"/>
      <c r="L87" s="45"/>
      <c r="M87" s="45"/>
      <c r="Q87" s="3"/>
      <c r="R87" s="3"/>
      <c r="S87" s="3"/>
    </row>
    <row r="88" spans="2:19" x14ac:dyDescent="0.2">
      <c r="B88" s="1" t="s">
        <v>106</v>
      </c>
      <c r="G88" s="45">
        <v>0.79900000000000004</v>
      </c>
      <c r="H88" s="45">
        <f>49.767-G88</f>
        <v>48.968000000000004</v>
      </c>
      <c r="I88" s="45">
        <f>118.189-SUM(G88:H88)</f>
        <v>68.421999999999997</v>
      </c>
      <c r="J88" s="45">
        <f>+S88-SUM(G88:I88)</f>
        <v>65.27600000000001</v>
      </c>
      <c r="K88" s="45">
        <v>36.274000000000001</v>
      </c>
      <c r="L88" s="45">
        <f>73.394-K88</f>
        <v>37.120000000000005</v>
      </c>
      <c r="M88" s="45">
        <f>115.518-SUM(K88:L88)</f>
        <v>42.123999999999995</v>
      </c>
      <c r="Q88" s="3">
        <v>118.092</v>
      </c>
      <c r="R88" s="3">
        <v>154.506</v>
      </c>
      <c r="S88" s="3">
        <v>183.465</v>
      </c>
    </row>
    <row r="89" spans="2:19" x14ac:dyDescent="0.2">
      <c r="B89" s="1" t="s">
        <v>108</v>
      </c>
      <c r="G89" s="45">
        <v>0.34200000000000003</v>
      </c>
      <c r="H89" s="45">
        <f>1.387-G89</f>
        <v>1.0449999999999999</v>
      </c>
      <c r="I89" s="45">
        <f>3-SUM(G89:H89)</f>
        <v>1.613</v>
      </c>
      <c r="J89" s="45">
        <f>+S89-SUM(G89:I89)</f>
        <v>1.3529999999999998</v>
      </c>
      <c r="K89" s="45">
        <v>1.411</v>
      </c>
      <c r="L89" s="45">
        <f>3.932-K89</f>
        <v>2.5209999999999999</v>
      </c>
      <c r="M89" s="45">
        <f>4.457-SUM(K89:L89)</f>
        <v>0.52499999999999991</v>
      </c>
      <c r="Q89" s="3">
        <v>9.2520000000000007</v>
      </c>
      <c r="R89" s="3">
        <v>7.4630000000000001</v>
      </c>
      <c r="S89" s="3">
        <v>4.3529999999999998</v>
      </c>
    </row>
    <row r="90" spans="2:19" x14ac:dyDescent="0.2">
      <c r="B90" s="1" t="s">
        <v>107</v>
      </c>
      <c r="G90" s="45">
        <f>+G88-G89</f>
        <v>0.45700000000000002</v>
      </c>
      <c r="H90" s="45">
        <f>+H88-H89</f>
        <v>47.923000000000002</v>
      </c>
      <c r="I90" s="45">
        <f>+I88-I89</f>
        <v>66.808999999999997</v>
      </c>
      <c r="J90" s="45">
        <f>+J88-J89</f>
        <v>63.923000000000009</v>
      </c>
      <c r="K90" s="3">
        <f>+K88-K89</f>
        <v>34.863</v>
      </c>
      <c r="L90" s="3">
        <f>+L88-L89</f>
        <v>34.599000000000004</v>
      </c>
      <c r="M90" s="3">
        <f>+M88-M89</f>
        <v>41.598999999999997</v>
      </c>
      <c r="Q90" s="3">
        <f>+Q88-Q89</f>
        <v>108.84</v>
      </c>
      <c r="R90" s="3">
        <f>+R88-R89</f>
        <v>147.04300000000001</v>
      </c>
      <c r="S90" s="3">
        <f>+S88-S89</f>
        <v>179.11199999999999</v>
      </c>
    </row>
    <row r="91" spans="2:19" s="2" customFormat="1" x14ac:dyDescent="0.2">
      <c r="B91" s="2" t="s">
        <v>109</v>
      </c>
      <c r="J91" s="33">
        <f>+SUM(G90:J90)</f>
        <v>179.11199999999999</v>
      </c>
      <c r="K91" s="33">
        <f>+SUM(H90:K90)</f>
        <v>213.518</v>
      </c>
      <c r="L91" s="33">
        <f>+SUM(I90:L90)</f>
        <v>200.19400000000002</v>
      </c>
      <c r="M91" s="33">
        <f>+SUM(J90:M90)</f>
        <v>174.98399999999998</v>
      </c>
    </row>
    <row r="93" spans="2:19" x14ac:dyDescent="0.2">
      <c r="B93" s="1" t="s">
        <v>111</v>
      </c>
      <c r="J93" s="1">
        <f>+J91/J20</f>
        <v>1.0879603476866446</v>
      </c>
      <c r="K93" s="1">
        <f>+K91/K20</f>
        <v>1.2474104539957585</v>
      </c>
      <c r="L93" s="1">
        <f>+L91/L20</f>
        <v>1.1601279540107323</v>
      </c>
      <c r="M93" s="1">
        <f>+M91/M20</f>
        <v>1.006233467510063</v>
      </c>
    </row>
    <row r="94" spans="2:19" x14ac:dyDescent="0.2">
      <c r="B94" s="1" t="s">
        <v>110</v>
      </c>
    </row>
  </sheetData>
  <hyperlinks>
    <hyperlink ref="M1" r:id="rId1" xr:uid="{B798FEA1-037A-410A-B158-2AB0044A2221}"/>
    <hyperlink ref="L1" r:id="rId2" xr:uid="{927CAAD2-87E0-41DE-822C-70677A91E006}"/>
    <hyperlink ref="K1" r:id="rId3" xr:uid="{0826EAA4-59C7-4565-8066-6EFD4DAE1E4C}"/>
    <hyperlink ref="S1" r:id="rId4" xr:uid="{A32477F7-4ED9-41F0-B115-AA48B90FD927}"/>
  </hyperlinks>
  <pageMargins left="0.7" right="0.7" top="0.75" bottom="0.75" header="0.3" footer="0.3"/>
  <pageSetup orientation="portrait" r:id="rId5"/>
  <ignoredErrors>
    <ignoredError sqref="J7:J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2024-12-10T23:38:38Z</dcterms:created>
  <dcterms:modified xsi:type="dcterms:W3CDTF">2024-12-16T13:33:42Z</dcterms:modified>
</cp:coreProperties>
</file>