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5DA88E1-AACE-441B-A419-C3141840BAB8}" xr6:coauthVersionLast="36" xr6:coauthVersionMax="47" xr10:uidLastSave="{00000000-0000-0000-0000-000000000000}"/>
  <bookViews>
    <workbookView xWindow="0" yWindow="495" windowWidth="33600" windowHeight="18900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C10" i="1"/>
  <c r="C9" i="1"/>
  <c r="C7" i="1"/>
  <c r="N117" i="2"/>
  <c r="N116" i="2"/>
  <c r="N114" i="2"/>
  <c r="N106" i="2"/>
  <c r="N101" i="2"/>
  <c r="N90" i="2"/>
  <c r="N78" i="2"/>
  <c r="N77" i="2"/>
  <c r="N76" i="2"/>
  <c r="N75" i="2"/>
  <c r="N74" i="2"/>
  <c r="N71" i="2"/>
  <c r="N72" i="2" s="1"/>
  <c r="N67" i="2"/>
  <c r="N66" i="2"/>
  <c r="N68" i="2" s="1"/>
  <c r="N63" i="2"/>
  <c r="N64" i="2" s="1"/>
  <c r="N61" i="2"/>
  <c r="N58" i="2"/>
  <c r="N48" i="2"/>
  <c r="N46" i="2"/>
  <c r="X36" i="2"/>
  <c r="X34" i="2"/>
  <c r="X19" i="2"/>
  <c r="X20" i="2"/>
  <c r="N31" i="2"/>
  <c r="N30" i="2"/>
  <c r="N28" i="2"/>
  <c r="N27" i="2"/>
  <c r="N25" i="2"/>
  <c r="N24" i="2"/>
  <c r="N23" i="2"/>
  <c r="N22" i="2"/>
  <c r="N13" i="2"/>
  <c r="N5" i="2"/>
  <c r="V3" i="2" l="1"/>
  <c r="W3" i="2"/>
  <c r="X3" i="2"/>
  <c r="Y3" i="2" s="1"/>
  <c r="V4" i="2"/>
  <c r="V5" i="2" s="1"/>
  <c r="W4" i="2"/>
  <c r="W5" i="2" s="1"/>
  <c r="X4" i="2"/>
  <c r="V6" i="2"/>
  <c r="V11" i="2" s="1"/>
  <c r="W6" i="2"/>
  <c r="W11" i="2" s="1"/>
  <c r="X6" i="2"/>
  <c r="V7" i="2"/>
  <c r="W7" i="2"/>
  <c r="X7" i="2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V8" i="2"/>
  <c r="W8" i="2"/>
  <c r="W31" i="2" s="1"/>
  <c r="X8" i="2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V9" i="2"/>
  <c r="W9" i="2"/>
  <c r="X9" i="2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V10" i="2"/>
  <c r="W10" i="2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V13" i="2"/>
  <c r="W13" i="2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V14" i="2"/>
  <c r="W14" i="2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V15" i="2"/>
  <c r="W15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V17" i="2"/>
  <c r="W17" i="2"/>
  <c r="X17" i="2"/>
  <c r="Y17" i="2" s="1"/>
  <c r="V20" i="2"/>
  <c r="W20" i="2"/>
  <c r="AP27" i="2"/>
  <c r="W28" i="2"/>
  <c r="V34" i="2"/>
  <c r="W36" i="2" s="1"/>
  <c r="W34" i="2"/>
  <c r="X11" i="2" l="1"/>
  <c r="X12" i="2" s="1"/>
  <c r="X23" i="2" s="1"/>
  <c r="Y6" i="2"/>
  <c r="Z6" i="2" s="1"/>
  <c r="AA6" i="2" s="1"/>
  <c r="AB6" i="2" s="1"/>
  <c r="AC6" i="2" s="1"/>
  <c r="Z3" i="2"/>
  <c r="Y28" i="2"/>
  <c r="Y5" i="2"/>
  <c r="Y22" i="2" s="1"/>
  <c r="X5" i="2"/>
  <c r="X22" i="2" s="1"/>
  <c r="X28" i="2"/>
  <c r="V22" i="2"/>
  <c r="V12" i="2"/>
  <c r="W22" i="2"/>
  <c r="W12" i="2"/>
  <c r="Z28" i="2"/>
  <c r="Z5" i="2"/>
  <c r="Z4" i="2" s="1"/>
  <c r="AA3" i="2"/>
  <c r="Z17" i="2"/>
  <c r="Y11" i="2" l="1"/>
  <c r="Y12" i="2" s="1"/>
  <c r="AA11" i="2"/>
  <c r="AB11" i="2"/>
  <c r="Z11" i="2"/>
  <c r="Z12" i="2" s="1"/>
  <c r="Y4" i="2"/>
  <c r="AA28" i="2"/>
  <c r="AA5" i="2"/>
  <c r="AB3" i="2"/>
  <c r="Y23" i="2"/>
  <c r="Y16" i="2"/>
  <c r="AA17" i="2"/>
  <c r="AD6" i="2"/>
  <c r="AC11" i="2"/>
  <c r="Z22" i="2"/>
  <c r="W16" i="2"/>
  <c r="W23" i="2"/>
  <c r="V23" i="2"/>
  <c r="V16" i="2"/>
  <c r="Z16" i="2" l="1"/>
  <c r="Z23" i="2"/>
  <c r="AB17" i="2"/>
  <c r="AA22" i="2"/>
  <c r="AA12" i="2"/>
  <c r="AE6" i="2"/>
  <c r="AD11" i="2"/>
  <c r="Y18" i="2"/>
  <c r="Y25" i="2"/>
  <c r="AA4" i="2"/>
  <c r="V25" i="2"/>
  <c r="V18" i="2"/>
  <c r="AB28" i="2"/>
  <c r="AB5" i="2"/>
  <c r="AC3" i="2"/>
  <c r="W25" i="2"/>
  <c r="W18" i="2"/>
  <c r="Y24" i="2" l="1"/>
  <c r="AA16" i="2"/>
  <c r="AA23" i="2"/>
  <c r="W19" i="2"/>
  <c r="W24" i="2"/>
  <c r="AE11" i="2"/>
  <c r="AF6" i="2"/>
  <c r="AC28" i="2"/>
  <c r="AC5" i="2"/>
  <c r="AD3" i="2"/>
  <c r="AB12" i="2"/>
  <c r="AB22" i="2"/>
  <c r="AC17" i="2"/>
  <c r="AB4" i="2"/>
  <c r="V19" i="2"/>
  <c r="V24" i="2"/>
  <c r="Z18" i="2"/>
  <c r="Z25" i="2"/>
  <c r="AC12" i="2" l="1"/>
  <c r="AC22" i="2"/>
  <c r="AF11" i="2"/>
  <c r="AG6" i="2"/>
  <c r="AC4" i="2"/>
  <c r="AD17" i="2"/>
  <c r="Z24" i="2"/>
  <c r="AB16" i="2"/>
  <c r="AB23" i="2"/>
  <c r="AA18" i="2"/>
  <c r="AA25" i="2"/>
  <c r="AD5" i="2"/>
  <c r="AD28" i="2"/>
  <c r="AE3" i="2"/>
  <c r="AF3" i="2" l="1"/>
  <c r="AE5" i="2"/>
  <c r="AE4" i="2" s="1"/>
  <c r="AE28" i="2"/>
  <c r="AC16" i="2"/>
  <c r="AC23" i="2"/>
  <c r="AB18" i="2"/>
  <c r="AB25" i="2"/>
  <c r="AE17" i="2"/>
  <c r="AG11" i="2"/>
  <c r="AH6" i="2"/>
  <c r="AD22" i="2"/>
  <c r="AD12" i="2"/>
  <c r="AD4" i="2"/>
  <c r="AA24" i="2"/>
  <c r="AC18" i="2" l="1"/>
  <c r="AC25" i="2"/>
  <c r="AH11" i="2"/>
  <c r="AI6" i="2"/>
  <c r="AF17" i="2"/>
  <c r="AB24" i="2"/>
  <c r="AE22" i="2"/>
  <c r="AE12" i="2"/>
  <c r="AD16" i="2"/>
  <c r="AD23" i="2"/>
  <c r="AG3" i="2"/>
  <c r="AF5" i="2"/>
  <c r="AF28" i="2"/>
  <c r="AD18" i="2" l="1"/>
  <c r="AD25" i="2"/>
  <c r="AI11" i="2"/>
  <c r="AJ6" i="2"/>
  <c r="AE16" i="2"/>
  <c r="AE23" i="2"/>
  <c r="AG17" i="2"/>
  <c r="AF22" i="2"/>
  <c r="AF12" i="2"/>
  <c r="AF4" i="2"/>
  <c r="AH3" i="2"/>
  <c r="AG5" i="2"/>
  <c r="AG4" i="2" s="1"/>
  <c r="AG28" i="2"/>
  <c r="AC24" i="2"/>
  <c r="AJ11" i="2" l="1"/>
  <c r="AK6" i="2"/>
  <c r="AH5" i="2"/>
  <c r="AI3" i="2"/>
  <c r="AH28" i="2"/>
  <c r="AH4" i="2"/>
  <c r="AF16" i="2"/>
  <c r="AF23" i="2"/>
  <c r="AH17" i="2"/>
  <c r="AE18" i="2"/>
  <c r="AE25" i="2"/>
  <c r="AG22" i="2"/>
  <c r="AG12" i="2"/>
  <c r="AD24" i="2"/>
  <c r="AE24" i="2" l="1"/>
  <c r="AF18" i="2"/>
  <c r="AF25" i="2"/>
  <c r="AH22" i="2"/>
  <c r="AH12" i="2"/>
  <c r="AK11" i="2"/>
  <c r="AL6" i="2"/>
  <c r="AI17" i="2"/>
  <c r="AI5" i="2"/>
  <c r="AJ3" i="2"/>
  <c r="AI28" i="2"/>
  <c r="AG23" i="2"/>
  <c r="AG16" i="2"/>
  <c r="AH23" i="2" l="1"/>
  <c r="AH16" i="2"/>
  <c r="AJ5" i="2"/>
  <c r="AJ4" i="2" s="1"/>
  <c r="AJ28" i="2"/>
  <c r="AK3" i="2"/>
  <c r="AJ17" i="2"/>
  <c r="AI12" i="2"/>
  <c r="AI22" i="2"/>
  <c r="AM6" i="2"/>
  <c r="AM11" i="2" s="1"/>
  <c r="AL11" i="2"/>
  <c r="AG18" i="2"/>
  <c r="AG25" i="2"/>
  <c r="AF24" i="2"/>
  <c r="AI4" i="2"/>
  <c r="AI23" i="2" l="1"/>
  <c r="AI16" i="2"/>
  <c r="AK17" i="2"/>
  <c r="AK5" i="2"/>
  <c r="AK28" i="2"/>
  <c r="AL3" i="2"/>
  <c r="AJ12" i="2"/>
  <c r="AJ22" i="2"/>
  <c r="AH18" i="2"/>
  <c r="AH25" i="2"/>
  <c r="AG24" i="2"/>
  <c r="AH24" i="2" l="1"/>
  <c r="AJ23" i="2"/>
  <c r="AJ16" i="2"/>
  <c r="AL28" i="2"/>
  <c r="AL5" i="2"/>
  <c r="AM3" i="2"/>
  <c r="AK22" i="2"/>
  <c r="AK12" i="2"/>
  <c r="AK4" i="2"/>
  <c r="AL17" i="2"/>
  <c r="AI18" i="2"/>
  <c r="AI25" i="2"/>
  <c r="AK23" i="2" l="1"/>
  <c r="AK16" i="2"/>
  <c r="AM28" i="2"/>
  <c r="AM5" i="2"/>
  <c r="AM4" i="2" s="1"/>
  <c r="AL12" i="2"/>
  <c r="AL22" i="2"/>
  <c r="AL4" i="2"/>
  <c r="AJ18" i="2"/>
  <c r="AJ25" i="2"/>
  <c r="AI24" i="2"/>
  <c r="AM17" i="2"/>
  <c r="AJ24" i="2" l="1"/>
  <c r="AK18" i="2"/>
  <c r="AK25" i="2"/>
  <c r="AL16" i="2"/>
  <c r="AL23" i="2"/>
  <c r="AM12" i="2"/>
  <c r="AM22" i="2"/>
  <c r="AL18" i="2" l="1"/>
  <c r="AL25" i="2"/>
  <c r="AM23" i="2"/>
  <c r="AM16" i="2"/>
  <c r="AK24" i="2"/>
  <c r="AM18" i="2" l="1"/>
  <c r="AM25" i="2"/>
  <c r="AL24" i="2"/>
  <c r="AN18" i="2" l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AM24" i="2"/>
  <c r="M117" i="2" l="1"/>
  <c r="L117" i="2"/>
  <c r="I117" i="2"/>
  <c r="H117" i="2"/>
  <c r="H116" i="2"/>
  <c r="I116" i="2"/>
  <c r="L116" i="2"/>
  <c r="M116" i="2"/>
  <c r="H114" i="2" l="1"/>
  <c r="H106" i="2"/>
  <c r="H90" i="2"/>
  <c r="H101" i="2" s="1"/>
  <c r="L114" i="2"/>
  <c r="L106" i="2"/>
  <c r="L90" i="2"/>
  <c r="L101" i="2" s="1"/>
  <c r="I114" i="2" l="1"/>
  <c r="M114" i="2"/>
  <c r="I106" i="2"/>
  <c r="M106" i="2"/>
  <c r="I90" i="2"/>
  <c r="I101" i="2" s="1"/>
  <c r="M90" i="2"/>
  <c r="M101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Y20" i="2" l="1"/>
  <c r="Z20" i="2" l="1"/>
  <c r="Y19" i="2"/>
  <c r="M71" i="2"/>
  <c r="M75" i="2" s="1"/>
  <c r="M67" i="2"/>
  <c r="M66" i="2"/>
  <c r="M58" i="2"/>
  <c r="M61" i="2" s="1"/>
  <c r="M46" i="2"/>
  <c r="M48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A20" i="2" l="1"/>
  <c r="Z19" i="2"/>
  <c r="M63" i="2"/>
  <c r="M64" i="2" s="1"/>
  <c r="M74" i="2" s="1"/>
  <c r="M12" i="2"/>
  <c r="M68" i="2"/>
  <c r="M72" i="2" s="1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AB20" i="2" l="1"/>
  <c r="AA19" i="2"/>
  <c r="M23" i="2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C20" i="2" l="1"/>
  <c r="AB19" i="2"/>
  <c r="M18" i="2"/>
  <c r="M81" i="2" s="1"/>
  <c r="M25" i="2"/>
  <c r="AK10" i="1"/>
  <c r="AK9" i="1"/>
  <c r="AK14" i="1"/>
  <c r="AK13" i="1"/>
  <c r="S18" i="3"/>
  <c r="Q16" i="3"/>
  <c r="Q12" i="3"/>
  <c r="Q11" i="3"/>
  <c r="Q8" i="3"/>
  <c r="Q7" i="3"/>
  <c r="AD20" i="2" l="1"/>
  <c r="AC19" i="2"/>
  <c r="M24" i="2"/>
  <c r="M19" i="2"/>
  <c r="S3" i="2"/>
  <c r="S27" i="2" s="1"/>
  <c r="AE20" i="2" l="1"/>
  <c r="AD19" i="2"/>
  <c r="K67" i="2"/>
  <c r="J67" i="2"/>
  <c r="I67" i="2"/>
  <c r="H67" i="2"/>
  <c r="G67" i="2"/>
  <c r="F67" i="2"/>
  <c r="K66" i="2"/>
  <c r="I66" i="2"/>
  <c r="H66" i="2"/>
  <c r="G66" i="2"/>
  <c r="F66" i="2"/>
  <c r="L67" i="2"/>
  <c r="L66" i="2"/>
  <c r="AF20" i="2" l="1"/>
  <c r="AE19" i="2"/>
  <c r="L68" i="2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G20" i="2" l="1"/>
  <c r="AF19" i="2"/>
  <c r="AK18" i="1"/>
  <c r="S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AH20" i="2" l="1"/>
  <c r="AG19" i="2"/>
  <c r="L12" i="2"/>
  <c r="L16" i="2" s="1"/>
  <c r="L25" i="2" s="1"/>
  <c r="L63" i="2"/>
  <c r="L64" i="2" s="1"/>
  <c r="L23" i="2"/>
  <c r="L18" i="2"/>
  <c r="L81" i="2" s="1"/>
  <c r="K36" i="2"/>
  <c r="R34" i="2"/>
  <c r="AI20" i="2" l="1"/>
  <c r="AH19" i="2"/>
  <c r="L74" i="2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AJ20" i="2" l="1"/>
  <c r="AI19" i="2"/>
  <c r="S36" i="2"/>
  <c r="T18" i="3"/>
  <c r="U18" i="3" s="1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AK20" i="2" l="1"/>
  <c r="AJ19" i="2"/>
  <c r="N36" i="2"/>
  <c r="Q5" i="2"/>
  <c r="Q22" i="2" s="1"/>
  <c r="Q28" i="2"/>
  <c r="Q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L20" i="2" l="1"/>
  <c r="AK19" i="2"/>
  <c r="AJ17" i="1"/>
  <c r="AK17" i="1"/>
  <c r="Q4" i="2"/>
  <c r="Q12" i="2"/>
  <c r="Q23" i="2" s="1"/>
  <c r="AJ18" i="1"/>
  <c r="AM20" i="2" l="1"/>
  <c r="AM19" i="2" s="1"/>
  <c r="AL19" i="2"/>
  <c r="Q16" i="2"/>
  <c r="Q18" i="2" s="1"/>
  <c r="R6" i="2"/>
  <c r="R3" i="2"/>
  <c r="Q25" i="2" l="1"/>
  <c r="Q24" i="2"/>
  <c r="Q19" i="2"/>
  <c r="R27" i="2" l="1"/>
  <c r="R17" i="2"/>
  <c r="R10" i="2"/>
  <c r="S10" i="2" s="1"/>
  <c r="R9" i="2"/>
  <c r="S9" i="2" s="1"/>
  <c r="R8" i="2"/>
  <c r="S8" i="2" s="1"/>
  <c r="S7" i="2"/>
  <c r="R7" i="2"/>
  <c r="S6" i="2"/>
  <c r="S5" i="2"/>
  <c r="R5" i="2"/>
  <c r="S30" i="2" l="1"/>
  <c r="S31" i="2"/>
  <c r="K58" i="2"/>
  <c r="K61" i="2" s="1"/>
  <c r="K46" i="2"/>
  <c r="K48" i="2" s="1"/>
  <c r="K28" i="2"/>
  <c r="K27" i="2"/>
  <c r="K15" i="2"/>
  <c r="K11" i="2"/>
  <c r="K5" i="2"/>
  <c r="K22" i="2" s="1"/>
  <c r="P14" i="3"/>
  <c r="K63" i="2" l="1"/>
  <c r="K64" i="2" s="1"/>
  <c r="K74" i="2" s="1"/>
  <c r="Q15" i="3"/>
  <c r="P16" i="3"/>
  <c r="P15" i="3"/>
  <c r="K12" i="2"/>
  <c r="P4" i="3"/>
  <c r="K16" i="2" l="1"/>
  <c r="K23" i="2"/>
  <c r="P3" i="3"/>
  <c r="K18" i="2" l="1"/>
  <c r="K81" i="2" s="1"/>
  <c r="K25" i="2"/>
  <c r="Y14" i="3"/>
  <c r="Y10" i="3"/>
  <c r="Y6" i="3"/>
  <c r="Y2" i="3"/>
  <c r="Z10" i="3"/>
  <c r="Z6" i="3"/>
  <c r="Z2" i="3"/>
  <c r="K19" i="2" l="1"/>
  <c r="K24" i="2"/>
  <c r="S22" i="2"/>
  <c r="R22" i="2"/>
  <c r="S15" i="2"/>
  <c r="R15" i="2"/>
  <c r="S14" i="2"/>
  <c r="R14" i="2"/>
  <c r="S13" i="2"/>
  <c r="R13" i="2"/>
  <c r="Z4" i="3"/>
  <c r="Z14" i="3"/>
  <c r="AA14" i="3"/>
  <c r="AA10" i="3"/>
  <c r="AA6" i="3"/>
  <c r="AA2" i="3"/>
  <c r="AA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P24" i="2" l="1"/>
  <c r="AA16" i="3"/>
  <c r="R4" i="2"/>
  <c r="S28" i="2"/>
  <c r="R28" i="2"/>
  <c r="R11" i="2"/>
  <c r="R12" i="2" s="1"/>
  <c r="S4" i="2"/>
  <c r="S17" i="2"/>
  <c r="AA12" i="3"/>
  <c r="Z16" i="3"/>
  <c r="Z12" i="3"/>
  <c r="Z8" i="3"/>
  <c r="AA8" i="3"/>
  <c r="C12" i="1"/>
  <c r="E7" i="3"/>
  <c r="E15" i="3" s="1"/>
  <c r="F3" i="3"/>
  <c r="F7" i="3"/>
  <c r="S11" i="2" l="1"/>
  <c r="S12" i="2" s="1"/>
  <c r="R23" i="2"/>
  <c r="R16" i="2"/>
  <c r="F15" i="3"/>
  <c r="R18" i="2" l="1"/>
  <c r="R25" i="2"/>
  <c r="N11" i="2"/>
  <c r="N12" i="2" s="1"/>
  <c r="N16" i="2" s="1"/>
  <c r="N18" i="2" s="1"/>
  <c r="S23" i="2"/>
  <c r="S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S18" i="2" l="1"/>
  <c r="S25" i="2"/>
  <c r="X16" i="2"/>
  <c r="X25" i="2" s="1"/>
  <c r="D12" i="2"/>
  <c r="D16" i="2" s="1"/>
  <c r="E12" i="2"/>
  <c r="E16" i="2" s="1"/>
  <c r="E18" i="2" s="1"/>
  <c r="C12" i="2"/>
  <c r="C16" i="2" s="1"/>
  <c r="X18" i="2" l="1"/>
  <c r="D23" i="2"/>
  <c r="D18" i="2"/>
  <c r="E23" i="2"/>
  <c r="E25" i="2"/>
  <c r="C23" i="2"/>
  <c r="C25" i="2"/>
  <c r="C18" i="2"/>
  <c r="H58" i="2"/>
  <c r="H61" i="2" s="1"/>
  <c r="H46" i="2"/>
  <c r="H48" i="2" s="1"/>
  <c r="X24" i="2" l="1"/>
  <c r="H63" i="2"/>
  <c r="H64" i="2" s="1"/>
  <c r="H74" i="2" s="1"/>
  <c r="D25" i="2"/>
  <c r="D24" i="2"/>
  <c r="D19" i="2"/>
  <c r="E24" i="2"/>
  <c r="E19" i="2"/>
  <c r="C24" i="2"/>
  <c r="C19" i="2"/>
  <c r="G58" i="2"/>
  <c r="G61" i="2" s="1"/>
  <c r="G46" i="2"/>
  <c r="G48" i="2" s="1"/>
  <c r="G63" i="2" l="1"/>
  <c r="G64" i="2" s="1"/>
  <c r="G74" i="2" s="1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I74" i="2" s="1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J48" i="2" l="1"/>
  <c r="F12" i="2"/>
  <c r="I12" i="2"/>
  <c r="H12" i="2"/>
  <c r="G5" i="2"/>
  <c r="G22" i="2" s="1"/>
  <c r="G11" i="2"/>
  <c r="I16" i="2" l="1"/>
  <c r="H16" i="2"/>
  <c r="H25" i="2" s="1"/>
  <c r="J63" i="2"/>
  <c r="J64" i="2" s="1"/>
  <c r="J74" i="2" s="1"/>
  <c r="F16" i="2"/>
  <c r="F25" i="2" s="1"/>
  <c r="F23" i="2"/>
  <c r="H18" i="2"/>
  <c r="H81" i="2" s="1"/>
  <c r="G12" i="2"/>
  <c r="G78" i="2" s="1"/>
  <c r="I23" i="2"/>
  <c r="H23" i="2"/>
  <c r="J5" i="2"/>
  <c r="J22" i="2" s="1"/>
  <c r="J11" i="2"/>
  <c r="I78" i="2" l="1"/>
  <c r="H78" i="2"/>
  <c r="F18" i="2"/>
  <c r="F19" i="2" s="1"/>
  <c r="G23" i="2"/>
  <c r="G16" i="2"/>
  <c r="G18" i="2" s="1"/>
  <c r="G19" i="2" s="1"/>
  <c r="H19" i="2"/>
  <c r="H24" i="2"/>
  <c r="I25" i="2"/>
  <c r="I18" i="2"/>
  <c r="J12" i="2"/>
  <c r="J16" i="2" l="1"/>
  <c r="M78" i="2"/>
  <c r="L78" i="2"/>
  <c r="K78" i="2"/>
  <c r="J78" i="2"/>
  <c r="I24" i="2"/>
  <c r="I81" i="2"/>
  <c r="G77" i="2"/>
  <c r="H77" i="2"/>
  <c r="F24" i="2"/>
  <c r="G25" i="2"/>
  <c r="I19" i="2"/>
  <c r="I77" i="2" s="1"/>
  <c r="J23" i="2"/>
  <c r="G24" i="2"/>
  <c r="J18" i="2" l="1"/>
  <c r="J81" i="2" s="1"/>
  <c r="J25" i="2"/>
  <c r="J24" i="2" l="1"/>
  <c r="J19" i="2"/>
  <c r="M77" i="2" l="1"/>
  <c r="K77" i="2"/>
  <c r="J77" i="2"/>
  <c r="L77" i="2"/>
  <c r="R24" i="2"/>
  <c r="M4" i="3"/>
  <c r="L4" i="3"/>
  <c r="I4" i="3"/>
  <c r="I8" i="3" s="1"/>
  <c r="G16" i="3"/>
  <c r="R19" i="2" l="1"/>
  <c r="M8" i="3"/>
  <c r="K4" i="3"/>
  <c r="O8" i="3" s="1"/>
  <c r="G11" i="3"/>
  <c r="G4" i="3"/>
  <c r="S19" i="2" l="1"/>
  <c r="S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N11" i="3" l="1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S11" i="3" l="1"/>
  <c r="S10" i="3" s="1"/>
  <c r="S12" i="3" s="1"/>
  <c r="M3" i="3"/>
  <c r="O3" i="3"/>
  <c r="J3" i="3"/>
  <c r="M7" i="3"/>
  <c r="N3" i="3"/>
  <c r="K3" i="3"/>
  <c r="I3" i="3"/>
  <c r="I7" i="3" s="1"/>
  <c r="I15" i="3" s="1"/>
  <c r="S3" i="3" l="1"/>
  <c r="S2" i="3" s="1"/>
  <c r="N7" i="3"/>
  <c r="T11" i="3"/>
  <c r="BD18" i="2"/>
  <c r="O7" i="3"/>
  <c r="K7" i="3"/>
  <c r="L7" i="3"/>
  <c r="J7" i="3"/>
  <c r="J15" i="3" s="1"/>
  <c r="BE18" i="2" l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S7" i="3"/>
  <c r="S6" i="3" s="1"/>
  <c r="S8" i="3" s="1"/>
  <c r="S4" i="3"/>
  <c r="S19" i="3"/>
  <c r="O15" i="3"/>
  <c r="T3" i="3"/>
  <c r="U3" i="3" s="1"/>
  <c r="T10" i="3"/>
  <c r="U11" i="3"/>
  <c r="N15" i="3"/>
  <c r="L15" i="3"/>
  <c r="M15" i="3"/>
  <c r="K15" i="3"/>
  <c r="AP23" i="2" l="1"/>
  <c r="AP25" i="2" s="1"/>
  <c r="AP26" i="2" s="1"/>
  <c r="AP28" i="2" s="1"/>
  <c r="S15" i="3"/>
  <c r="S14" i="3" s="1"/>
  <c r="S16" i="3" s="1"/>
  <c r="U10" i="3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<sst xmlns="http://schemas.openxmlformats.org/spreadsheetml/2006/main" count="614" uniqueCount="285">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</sst>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5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0E1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8" fillId="0" borderId="0" applyFont="0" applyFill="0" applyBorder="0" applyAlignment="0" applyProtection="0"/>
    <xf numFmtId="0" fontId="33" fillId="2" borderId="0" applyNumberFormat="0" applyBorder="0" applyAlignment="0" applyProtection="0"/>
    <xf numFmtId="0" fontId="34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28" fillId="3" borderId="0" applyNumberFormat="0" applyBorder="0" applyAlignment="0" applyProtection="0"/>
  </cellStyleXfs>
  <cellXfs count="308">
    <xf numFmtId="0" fontId="0" fillId="0" borderId="0" xfId="0"/>
    <xf numFmtId="0" fontId="30" fillId="0" borderId="0" xfId="0" applyFont="1"/>
    <xf numFmtId="0" fontId="30" fillId="0" borderId="0" xfId="0" applyFont="1" applyAlignment="1">
      <alignment horizontal="right"/>
    </xf>
    <xf numFmtId="165" fontId="30" fillId="0" borderId="0" xfId="0" applyNumberFormat="1" applyFont="1"/>
    <xf numFmtId="165" fontId="30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0" fontId="27" fillId="0" borderId="0" xfId="0" applyFont="1"/>
    <xf numFmtId="0" fontId="27" fillId="0" borderId="0" xfId="0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7" fillId="0" borderId="0" xfId="0" applyNumberFormat="1" applyFont="1"/>
    <xf numFmtId="9" fontId="27" fillId="0" borderId="0" xfId="1" applyFont="1" applyAlignment="1">
      <alignment horizontal="right"/>
    </xf>
    <xf numFmtId="0" fontId="26" fillId="0" borderId="0" xfId="0" applyFont="1"/>
    <xf numFmtId="0" fontId="31" fillId="0" borderId="0" xfId="0" applyFont="1"/>
    <xf numFmtId="9" fontId="30" fillId="0" borderId="0" xfId="1" applyFont="1" applyAlignment="1">
      <alignment horizontal="right"/>
    </xf>
    <xf numFmtId="165" fontId="25" fillId="0" borderId="0" xfId="0" applyNumberFormat="1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32" fillId="0" borderId="0" xfId="0" applyFont="1"/>
    <xf numFmtId="165" fontId="23" fillId="0" borderId="0" xfId="0" applyNumberFormat="1" applyFont="1" applyAlignment="1">
      <alignment horizontal="right"/>
    </xf>
    <xf numFmtId="0" fontId="33" fillId="2" borderId="0" xfId="2"/>
    <xf numFmtId="0" fontId="33" fillId="2" borderId="0" xfId="2" applyAlignment="1">
      <alignment horizontal="left" indent="1"/>
    </xf>
    <xf numFmtId="0" fontId="34" fillId="2" borderId="0" xfId="3" applyFill="1" applyAlignment="1">
      <alignment horizontal="left" indent="1"/>
    </xf>
    <xf numFmtId="0" fontId="22" fillId="0" borderId="0" xfId="0" applyFont="1"/>
    <xf numFmtId="9" fontId="27" fillId="0" borderId="0" xfId="1" applyFont="1"/>
    <xf numFmtId="0" fontId="22" fillId="0" borderId="0" xfId="0" applyFont="1" applyAlignment="1">
      <alignment horizontal="right"/>
    </xf>
    <xf numFmtId="0" fontId="30" fillId="0" borderId="1" xfId="0" applyFont="1" applyBorder="1" applyAlignment="1">
      <alignment horizontal="right"/>
    </xf>
    <xf numFmtId="0" fontId="30" fillId="0" borderId="2" xfId="0" applyFont="1" applyBorder="1"/>
    <xf numFmtId="0" fontId="22" fillId="0" borderId="2" xfId="0" applyFont="1" applyBorder="1"/>
    <xf numFmtId="9" fontId="22" fillId="0" borderId="0" xfId="1" applyFont="1"/>
    <xf numFmtId="0" fontId="30" fillId="0" borderId="3" xfId="0" applyFont="1" applyBorder="1"/>
    <xf numFmtId="0" fontId="35" fillId="0" borderId="0" xfId="0" applyFont="1" applyAlignment="1">
      <alignment horizontal="right" vertical="center"/>
    </xf>
    <xf numFmtId="166" fontId="30" fillId="0" borderId="0" xfId="4" applyNumberFormat="1" applyFont="1"/>
    <xf numFmtId="9" fontId="30" fillId="0" borderId="0" xfId="1" applyFont="1"/>
    <xf numFmtId="14" fontId="37" fillId="0" borderId="0" xfId="0" applyNumberFormat="1" applyFont="1" applyAlignment="1">
      <alignment horizontal="right"/>
    </xf>
    <xf numFmtId="4" fontId="27" fillId="0" borderId="0" xfId="0" applyNumberFormat="1" applyFont="1"/>
    <xf numFmtId="14" fontId="37" fillId="0" borderId="0" xfId="0" applyNumberFormat="1" applyFont="1"/>
    <xf numFmtId="165" fontId="22" fillId="0" borderId="0" xfId="0" applyNumberFormat="1" applyFont="1"/>
    <xf numFmtId="168" fontId="22" fillId="0" borderId="0" xfId="0" applyNumberFormat="1" applyFont="1"/>
    <xf numFmtId="0" fontId="30" fillId="5" borderId="7" xfId="0" applyFont="1" applyFill="1" applyBorder="1"/>
    <xf numFmtId="165" fontId="22" fillId="0" borderId="2" xfId="0" applyNumberFormat="1" applyFont="1" applyBorder="1"/>
    <xf numFmtId="0" fontId="30" fillId="5" borderId="8" xfId="0" applyFont="1" applyFill="1" applyBorder="1"/>
    <xf numFmtId="165" fontId="22" fillId="0" borderId="3" xfId="0" applyNumberFormat="1" applyFont="1" applyBorder="1"/>
    <xf numFmtId="0" fontId="22" fillId="0" borderId="2" xfId="5" applyFont="1" applyFill="1" applyBorder="1"/>
    <xf numFmtId="165" fontId="27" fillId="0" borderId="1" xfId="0" applyNumberFormat="1" applyFont="1" applyBorder="1"/>
    <xf numFmtId="0" fontId="36" fillId="0" borderId="0" xfId="0" applyFont="1"/>
    <xf numFmtId="169" fontId="27" fillId="0" borderId="0" xfId="0" applyNumberFormat="1" applyFont="1" applyAlignment="1">
      <alignment horizontal="right"/>
    </xf>
    <xf numFmtId="169" fontId="27" fillId="0" borderId="0" xfId="1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9" fontId="27" fillId="0" borderId="0" xfId="0" applyNumberFormat="1" applyFont="1"/>
    <xf numFmtId="168" fontId="27" fillId="0" borderId="0" xfId="0" applyNumberFormat="1" applyFont="1"/>
    <xf numFmtId="0" fontId="38" fillId="0" borderId="0" xfId="0" applyFont="1" applyAlignment="1">
      <alignment horizontal="right"/>
    </xf>
    <xf numFmtId="0" fontId="21" fillId="0" borderId="0" xfId="0" applyFont="1"/>
    <xf numFmtId="9" fontId="21" fillId="0" borderId="0" xfId="1" applyFont="1"/>
    <xf numFmtId="167" fontId="27" fillId="0" borderId="0" xfId="0" applyNumberFormat="1" applyFont="1" applyAlignment="1">
      <alignment horizontal="right"/>
    </xf>
    <xf numFmtId="1" fontId="27" fillId="0" borderId="0" xfId="0" applyNumberFormat="1" applyFont="1"/>
    <xf numFmtId="169" fontId="30" fillId="0" borderId="0" xfId="0" applyNumberFormat="1" applyFont="1" applyAlignment="1">
      <alignment horizontal="right"/>
    </xf>
    <xf numFmtId="17" fontId="39" fillId="0" borderId="1" xfId="0" applyNumberFormat="1" applyFont="1" applyBorder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right"/>
    </xf>
    <xf numFmtId="9" fontId="40" fillId="0" borderId="0" xfId="0" applyNumberFormat="1" applyFont="1" applyAlignment="1">
      <alignment horizontal="right"/>
    </xf>
    <xf numFmtId="0" fontId="40" fillId="0" borderId="0" xfId="0" applyFont="1"/>
    <xf numFmtId="166" fontId="39" fillId="0" borderId="0" xfId="4" applyNumberFormat="1" applyFont="1"/>
    <xf numFmtId="0" fontId="41" fillId="0" borderId="0" xfId="0" applyFont="1" applyAlignment="1">
      <alignment horizontal="right"/>
    </xf>
    <xf numFmtId="0" fontId="27" fillId="0" borderId="2" xfId="0" applyFont="1" applyBorder="1"/>
    <xf numFmtId="166" fontId="27" fillId="0" borderId="0" xfId="4" applyNumberFormat="1" applyFont="1"/>
    <xf numFmtId="43" fontId="27" fillId="0" borderId="0" xfId="4" applyFont="1"/>
    <xf numFmtId="164" fontId="27" fillId="0" borderId="0" xfId="0" applyNumberFormat="1" applyFont="1"/>
    <xf numFmtId="0" fontId="30" fillId="8" borderId="0" xfId="0" applyFont="1" applyFill="1" applyAlignment="1">
      <alignment horizontal="right"/>
    </xf>
    <xf numFmtId="0" fontId="38" fillId="8" borderId="0" xfId="0" applyFont="1" applyFill="1" applyAlignment="1">
      <alignment horizontal="right"/>
    </xf>
    <xf numFmtId="165" fontId="30" fillId="8" borderId="0" xfId="0" applyNumberFormat="1" applyFont="1" applyFill="1" applyAlignment="1">
      <alignment horizontal="right"/>
    </xf>
    <xf numFmtId="165" fontId="27" fillId="8" borderId="0" xfId="0" applyNumberFormat="1" applyFont="1" applyFill="1" applyAlignment="1">
      <alignment horizontal="right"/>
    </xf>
    <xf numFmtId="169" fontId="30" fillId="8" borderId="0" xfId="0" applyNumberFormat="1" applyFont="1" applyFill="1" applyAlignment="1">
      <alignment horizontal="right"/>
    </xf>
    <xf numFmtId="169" fontId="27" fillId="8" borderId="0" xfId="1" applyNumberFormat="1" applyFont="1" applyFill="1" applyAlignment="1">
      <alignment horizontal="right"/>
    </xf>
    <xf numFmtId="169" fontId="27" fillId="8" borderId="0" xfId="0" applyNumberFormat="1" applyFont="1" applyFill="1" applyAlignment="1">
      <alignment horizontal="right"/>
    </xf>
    <xf numFmtId="0" fontId="27" fillId="8" borderId="0" xfId="0" applyFont="1" applyFill="1" applyAlignment="1">
      <alignment horizontal="right"/>
    </xf>
    <xf numFmtId="168" fontId="27" fillId="8" borderId="0" xfId="0" applyNumberFormat="1" applyFont="1" applyFill="1" applyAlignment="1">
      <alignment horizontal="right"/>
    </xf>
    <xf numFmtId="4" fontId="27" fillId="8" borderId="0" xfId="0" applyNumberFormat="1" applyFont="1" applyFill="1" applyAlignment="1">
      <alignment horizontal="right"/>
    </xf>
    <xf numFmtId="9" fontId="27" fillId="8" borderId="0" xfId="1" applyFont="1" applyFill="1" applyAlignment="1">
      <alignment horizontal="right"/>
    </xf>
    <xf numFmtId="9" fontId="30" fillId="8" borderId="0" xfId="1" applyFont="1" applyFill="1" applyAlignment="1">
      <alignment horizontal="right"/>
    </xf>
    <xf numFmtId="165" fontId="43" fillId="0" borderId="0" xfId="0" applyNumberFormat="1" applyFont="1" applyAlignment="1">
      <alignment horizontal="right"/>
    </xf>
    <xf numFmtId="0" fontId="43" fillId="0" borderId="0" xfId="0" applyFont="1" applyAlignment="1">
      <alignment horizontal="right"/>
    </xf>
    <xf numFmtId="9" fontId="22" fillId="0" borderId="0" xfId="1" applyFont="1" applyBorder="1"/>
    <xf numFmtId="0" fontId="20" fillId="0" borderId="0" xfId="0" applyFont="1"/>
    <xf numFmtId="9" fontId="27" fillId="0" borderId="0" xfId="0" applyNumberFormat="1" applyFont="1" applyAlignment="1">
      <alignment horizontal="right"/>
    </xf>
    <xf numFmtId="165" fontId="30" fillId="0" borderId="0" xfId="1" applyNumberFormat="1" applyFont="1" applyAlignment="1">
      <alignment horizontal="right"/>
    </xf>
    <xf numFmtId="0" fontId="20" fillId="7" borderId="0" xfId="0" applyFont="1" applyFill="1" applyAlignment="1">
      <alignment horizontal="left"/>
    </xf>
    <xf numFmtId="0" fontId="27" fillId="6" borderId="7" xfId="0" applyFont="1" applyFill="1" applyBorder="1"/>
    <xf numFmtId="0" fontId="27" fillId="6" borderId="8" xfId="0" applyFont="1" applyFill="1" applyBorder="1"/>
    <xf numFmtId="0" fontId="20" fillId="6" borderId="7" xfId="0" applyFont="1" applyFill="1" applyBorder="1" applyAlignment="1">
      <alignment horizontal="center" vertical="center"/>
    </xf>
    <xf numFmtId="0" fontId="19" fillId="0" borderId="0" xfId="0" applyFont="1"/>
    <xf numFmtId="0" fontId="19" fillId="6" borderId="7" xfId="0" applyFont="1" applyFill="1" applyBorder="1" applyAlignment="1">
      <alignment horizontal="left" indent="1"/>
    </xf>
    <xf numFmtId="0" fontId="27" fillId="6" borderId="0" xfId="0" applyFont="1" applyFill="1"/>
    <xf numFmtId="0" fontId="27" fillId="6" borderId="2" xfId="0" applyFont="1" applyFill="1" applyBorder="1"/>
    <xf numFmtId="0" fontId="30" fillId="6" borderId="7" xfId="0" applyFont="1" applyFill="1" applyBorder="1"/>
    <xf numFmtId="0" fontId="24" fillId="6" borderId="0" xfId="0" applyFont="1" applyFill="1"/>
    <xf numFmtId="0" fontId="19" fillId="6" borderId="8" xfId="0" applyFont="1" applyFill="1" applyBorder="1" applyAlignment="1">
      <alignment horizontal="left" indent="1"/>
    </xf>
    <xf numFmtId="0" fontId="27" fillId="6" borderId="1" xfId="0" applyFont="1" applyFill="1" applyBorder="1"/>
    <xf numFmtId="0" fontId="24" fillId="6" borderId="1" xfId="0" applyFont="1" applyFill="1" applyBorder="1"/>
    <xf numFmtId="0" fontId="27" fillId="6" borderId="3" xfId="0" applyFont="1" applyFill="1" applyBorder="1"/>
    <xf numFmtId="0" fontId="19" fillId="6" borderId="7" xfId="0" applyFont="1" applyFill="1" applyBorder="1" applyAlignment="1">
      <alignment horizontal="left" indent="3"/>
    </xf>
    <xf numFmtId="0" fontId="19" fillId="6" borderId="7" xfId="0" applyFont="1" applyFill="1" applyBorder="1" applyAlignment="1">
      <alignment horizontal="center" vertical="center"/>
    </xf>
    <xf numFmtId="0" fontId="27" fillId="9" borderId="0" xfId="0" applyFont="1" applyFill="1"/>
    <xf numFmtId="43" fontId="18" fillId="0" borderId="0" xfId="4" applyFont="1" applyAlignment="1">
      <alignment horizontal="right"/>
    </xf>
    <xf numFmtId="0" fontId="17" fillId="6" borderId="7" xfId="0" applyFont="1" applyFill="1" applyBorder="1" applyAlignment="1">
      <alignment horizontal="left"/>
    </xf>
    <xf numFmtId="0" fontId="16" fillId="0" borderId="0" xfId="0" applyFont="1"/>
    <xf numFmtId="2" fontId="22" fillId="0" borderId="0" xfId="0" applyNumberFormat="1" applyFont="1"/>
    <xf numFmtId="0" fontId="27" fillId="10" borderId="0" xfId="0" applyFont="1" applyFill="1"/>
    <xf numFmtId="17" fontId="39" fillId="10" borderId="1" xfId="0" applyNumberFormat="1" applyFont="1" applyFill="1" applyBorder="1" applyAlignment="1">
      <alignment horizontal="right"/>
    </xf>
    <xf numFmtId="0" fontId="30" fillId="10" borderId="0" xfId="0" applyFont="1" applyFill="1"/>
    <xf numFmtId="0" fontId="22" fillId="10" borderId="0" xfId="0" applyFont="1" applyFill="1" applyAlignment="1">
      <alignment horizontal="right"/>
    </xf>
    <xf numFmtId="166" fontId="30" fillId="10" borderId="0" xfId="4" applyNumberFormat="1" applyFont="1" applyFill="1"/>
    <xf numFmtId="0" fontId="30" fillId="11" borderId="0" xfId="0" applyFont="1" applyFill="1" applyAlignment="1">
      <alignment horizontal="right"/>
    </xf>
    <xf numFmtId="0" fontId="38" fillId="11" borderId="0" xfId="0" applyFont="1" applyFill="1" applyAlignment="1">
      <alignment horizontal="right"/>
    </xf>
    <xf numFmtId="165" fontId="30" fillId="11" borderId="0" xfId="0" applyNumberFormat="1" applyFont="1" applyFill="1" applyAlignment="1">
      <alignment horizontal="right"/>
    </xf>
    <xf numFmtId="165" fontId="27" fillId="11" borderId="0" xfId="0" applyNumberFormat="1" applyFont="1" applyFill="1" applyAlignment="1">
      <alignment horizontal="right"/>
    </xf>
    <xf numFmtId="168" fontId="27" fillId="11" borderId="0" xfId="0" applyNumberFormat="1" applyFont="1" applyFill="1" applyAlignment="1">
      <alignment horizontal="right"/>
    </xf>
    <xf numFmtId="4" fontId="27" fillId="11" borderId="0" xfId="0" applyNumberFormat="1" applyFont="1" applyFill="1" applyAlignment="1">
      <alignment horizontal="right"/>
    </xf>
    <xf numFmtId="9" fontId="27" fillId="11" borderId="0" xfId="1" applyFont="1" applyFill="1" applyAlignment="1">
      <alignment horizontal="right"/>
    </xf>
    <xf numFmtId="9" fontId="30" fillId="11" borderId="0" xfId="1" applyFont="1" applyFill="1" applyAlignment="1">
      <alignment horizontal="right"/>
    </xf>
    <xf numFmtId="165" fontId="30" fillId="11" borderId="0" xfId="0" applyNumberFormat="1" applyFont="1" applyFill="1"/>
    <xf numFmtId="165" fontId="27" fillId="11" borderId="0" xfId="0" applyNumberFormat="1" applyFont="1" applyFill="1"/>
    <xf numFmtId="4" fontId="27" fillId="11" borderId="0" xfId="0" applyNumberFormat="1" applyFont="1" applyFill="1"/>
    <xf numFmtId="0" fontId="27" fillId="11" borderId="0" xfId="0" applyFont="1" applyFill="1"/>
    <xf numFmtId="9" fontId="15" fillId="0" borderId="0" xfId="1" applyFont="1" applyAlignment="1">
      <alignment horizontal="right"/>
    </xf>
    <xf numFmtId="165" fontId="22" fillId="0" borderId="0" xfId="0" applyNumberFormat="1" applyFont="1" applyAlignment="1">
      <alignment horizontal="right"/>
    </xf>
    <xf numFmtId="165" fontId="30" fillId="0" borderId="0" xfId="4" applyNumberFormat="1" applyFont="1"/>
    <xf numFmtId="9" fontId="15" fillId="0" borderId="0" xfId="1" applyFont="1"/>
    <xf numFmtId="9" fontId="27" fillId="6" borderId="6" xfId="0" applyNumberFormat="1" applyFont="1" applyFill="1" applyBorder="1"/>
    <xf numFmtId="9" fontId="27" fillId="6" borderId="2" xfId="0" applyNumberFormat="1" applyFont="1" applyFill="1" applyBorder="1"/>
    <xf numFmtId="170" fontId="27" fillId="6" borderId="2" xfId="0" applyNumberFormat="1" applyFont="1" applyFill="1" applyBorder="1"/>
    <xf numFmtId="2" fontId="30" fillId="6" borderId="2" xfId="0" applyNumberFormat="1" applyFont="1" applyFill="1" applyBorder="1"/>
    <xf numFmtId="0" fontId="22" fillId="6" borderId="2" xfId="0" applyFont="1" applyFill="1" applyBorder="1"/>
    <xf numFmtId="9" fontId="22" fillId="6" borderId="3" xfId="1" applyFont="1" applyFill="1" applyBorder="1"/>
    <xf numFmtId="0" fontId="22" fillId="5" borderId="4" xfId="0" applyFont="1" applyFill="1" applyBorder="1"/>
    <xf numFmtId="0" fontId="22" fillId="5" borderId="7" xfId="0" applyFont="1" applyFill="1" applyBorder="1"/>
    <xf numFmtId="0" fontId="21" fillId="5" borderId="7" xfId="0" applyFont="1" applyFill="1" applyBorder="1"/>
    <xf numFmtId="0" fontId="21" fillId="5" borderId="8" xfId="0" applyFont="1" applyFill="1" applyBorder="1"/>
    <xf numFmtId="0" fontId="39" fillId="11" borderId="1" xfId="0" applyFont="1" applyFill="1" applyBorder="1" applyAlignment="1">
      <alignment horizontal="right"/>
    </xf>
    <xf numFmtId="165" fontId="39" fillId="11" borderId="0" xfId="0" applyNumberFormat="1" applyFont="1" applyFill="1"/>
    <xf numFmtId="9" fontId="40" fillId="11" borderId="0" xfId="0" applyNumberFormat="1" applyFont="1" applyFill="1"/>
    <xf numFmtId="9" fontId="40" fillId="11" borderId="0" xfId="1" applyFont="1" applyFill="1"/>
    <xf numFmtId="0" fontId="40" fillId="11" borderId="0" xfId="0" applyFont="1" applyFill="1"/>
    <xf numFmtId="165" fontId="40" fillId="11" borderId="0" xfId="0" applyNumberFormat="1" applyFont="1" applyFill="1"/>
    <xf numFmtId="9" fontId="22" fillId="0" borderId="0" xfId="1" applyFont="1" applyAlignment="1">
      <alignment horizontal="right"/>
    </xf>
    <xf numFmtId="3" fontId="39" fillId="11" borderId="0" xfId="0" applyNumberFormat="1" applyFont="1" applyFill="1"/>
    <xf numFmtId="9" fontId="15" fillId="11" borderId="0" xfId="1" applyFont="1" applyFill="1"/>
    <xf numFmtId="165" fontId="40" fillId="11" borderId="0" xfId="0" applyNumberFormat="1" applyFont="1" applyFill="1" applyAlignment="1">
      <alignment horizontal="right"/>
    </xf>
    <xf numFmtId="165" fontId="39" fillId="11" borderId="0" xfId="4" applyNumberFormat="1" applyFont="1" applyFill="1"/>
    <xf numFmtId="9" fontId="14" fillId="0" borderId="0" xfId="1" applyFont="1"/>
    <xf numFmtId="0" fontId="14" fillId="0" borderId="0" xfId="0" applyFont="1"/>
    <xf numFmtId="0" fontId="13" fillId="0" borderId="0" xfId="0" applyFont="1"/>
    <xf numFmtId="169" fontId="22" fillId="0" borderId="0" xfId="0" applyNumberFormat="1" applyFont="1"/>
    <xf numFmtId="2" fontId="40" fillId="11" borderId="0" xfId="0" applyNumberFormat="1" applyFont="1" applyFill="1"/>
    <xf numFmtId="171" fontId="30" fillId="11" borderId="0" xfId="4" applyNumberFormat="1" applyFont="1" applyFill="1" applyAlignment="1">
      <alignment horizontal="right"/>
    </xf>
    <xf numFmtId="9" fontId="27" fillId="11" borderId="0" xfId="0" applyNumberFormat="1" applyFont="1" applyFill="1" applyAlignment="1">
      <alignment horizontal="right"/>
    </xf>
    <xf numFmtId="0" fontId="27" fillId="5" borderId="7" xfId="0" applyFont="1" applyFill="1" applyBorder="1" applyAlignment="1">
      <alignment horizontal="center"/>
    </xf>
    <xf numFmtId="0" fontId="27" fillId="5" borderId="8" xfId="0" applyFont="1" applyFill="1" applyBorder="1" applyAlignment="1">
      <alignment horizontal="center"/>
    </xf>
    <xf numFmtId="0" fontId="44" fillId="6" borderId="0" xfId="0" applyFont="1" applyFill="1"/>
    <xf numFmtId="0" fontId="35" fillId="6" borderId="0" xfId="0" applyFont="1" applyFill="1"/>
    <xf numFmtId="0" fontId="40" fillId="6" borderId="0" xfId="0" applyFont="1" applyFill="1"/>
    <xf numFmtId="0" fontId="40" fillId="6" borderId="0" xfId="0" quotePrefix="1" applyFont="1" applyFill="1"/>
    <xf numFmtId="0" fontId="12" fillId="6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27" fillId="6" borderId="7" xfId="0" applyFont="1" applyFill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43" fontId="44" fillId="6" borderId="0" xfId="4" applyFont="1" applyFill="1" applyBorder="1" applyAlignment="1">
      <alignment horizontal="left" indent="1"/>
    </xf>
    <xf numFmtId="17" fontId="45" fillId="5" borderId="7" xfId="0" applyNumberFormat="1" applyFont="1" applyFill="1" applyBorder="1" applyAlignment="1">
      <alignment horizontal="center"/>
    </xf>
    <xf numFmtId="165" fontId="46" fillId="0" borderId="0" xfId="0" applyNumberFormat="1" applyFont="1" applyAlignment="1">
      <alignment horizontal="right"/>
    </xf>
    <xf numFmtId="0" fontId="11" fillId="6" borderId="7" xfId="0" applyFont="1" applyFill="1" applyBorder="1" applyAlignment="1">
      <alignment horizontal="center"/>
    </xf>
    <xf numFmtId="0" fontId="30" fillId="5" borderId="7" xfId="0" applyFont="1" applyFill="1" applyBorder="1" applyAlignment="1">
      <alignment horizontal="center"/>
    </xf>
    <xf numFmtId="0" fontId="30" fillId="5" borderId="8" xfId="0" applyFont="1" applyFill="1" applyBorder="1" applyAlignment="1">
      <alignment horizontal="center"/>
    </xf>
    <xf numFmtId="0" fontId="47" fillId="0" borderId="0" xfId="3" applyFont="1" applyAlignment="1">
      <alignment horizontal="right"/>
    </xf>
    <xf numFmtId="0" fontId="30" fillId="12" borderId="0" xfId="0" applyFont="1" applyFill="1" applyAlignment="1">
      <alignment horizontal="right"/>
    </xf>
    <xf numFmtId="0" fontId="38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27" fillId="12" borderId="0" xfId="0" applyNumberFormat="1" applyFont="1" applyFill="1" applyAlignment="1">
      <alignment horizontal="right"/>
    </xf>
    <xf numFmtId="169" fontId="30" fillId="12" borderId="0" xfId="0" applyNumberFormat="1" applyFont="1" applyFill="1" applyAlignment="1">
      <alignment horizontal="right"/>
    </xf>
    <xf numFmtId="169" fontId="27" fillId="12" borderId="0" xfId="1" applyNumberFormat="1" applyFont="1" applyFill="1" applyAlignment="1">
      <alignment horizontal="right"/>
    </xf>
    <xf numFmtId="169" fontId="27" fillId="12" borderId="0" xfId="0" applyNumberFormat="1" applyFont="1" applyFill="1" applyAlignment="1">
      <alignment horizontal="right"/>
    </xf>
    <xf numFmtId="168" fontId="27" fillId="12" borderId="0" xfId="0" applyNumberFormat="1" applyFont="1" applyFill="1" applyAlignment="1">
      <alignment horizontal="right"/>
    </xf>
    <xf numFmtId="4" fontId="27" fillId="12" borderId="0" xfId="0" applyNumberFormat="1" applyFont="1" applyFill="1" applyAlignment="1">
      <alignment horizontal="right"/>
    </xf>
    <xf numFmtId="0" fontId="27" fillId="12" borderId="0" xfId="0" applyFont="1" applyFill="1" applyAlignment="1">
      <alignment horizontal="right"/>
    </xf>
    <xf numFmtId="9" fontId="27" fillId="12" borderId="0" xfId="1" applyFont="1" applyFill="1" applyAlignment="1">
      <alignment horizontal="right"/>
    </xf>
    <xf numFmtId="9" fontId="30" fillId="12" borderId="0" xfId="1" applyFont="1" applyFill="1" applyAlignment="1">
      <alignment horizontal="right"/>
    </xf>
    <xf numFmtId="171" fontId="30" fillId="12" borderId="0" xfId="4" applyNumberFormat="1" applyFont="1" applyFill="1" applyAlignment="1">
      <alignment horizontal="right"/>
    </xf>
    <xf numFmtId="9" fontId="27" fillId="12" borderId="0" xfId="0" applyNumberFormat="1" applyFont="1" applyFill="1" applyAlignment="1">
      <alignment horizontal="right"/>
    </xf>
    <xf numFmtId="0" fontId="11" fillId="0" borderId="0" xfId="0" applyFont="1"/>
    <xf numFmtId="9" fontId="22" fillId="0" borderId="0" xfId="0" applyNumberFormat="1" applyFont="1"/>
    <xf numFmtId="14" fontId="41" fillId="0" borderId="0" xfId="0" applyNumberFormat="1" applyFont="1" applyAlignment="1">
      <alignment horizontal="right"/>
    </xf>
    <xf numFmtId="0" fontId="41" fillId="10" borderId="0" xfId="0" applyFont="1" applyFill="1" applyAlignment="1">
      <alignment horizontal="right"/>
    </xf>
    <xf numFmtId="0" fontId="39" fillId="10" borderId="0" xfId="0" applyFont="1" applyFill="1"/>
    <xf numFmtId="0" fontId="40" fillId="10" borderId="0" xfId="0" applyFont="1" applyFill="1" applyAlignment="1">
      <alignment horizontal="right"/>
    </xf>
    <xf numFmtId="9" fontId="40" fillId="10" borderId="0" xfId="0" applyNumberFormat="1" applyFont="1" applyFill="1" applyAlignment="1">
      <alignment horizontal="right"/>
    </xf>
    <xf numFmtId="0" fontId="40" fillId="10" borderId="0" xfId="0" applyFont="1" applyFill="1"/>
    <xf numFmtId="17" fontId="30" fillId="5" borderId="7" xfId="0" applyNumberFormat="1" applyFont="1" applyFill="1" applyBorder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 indent="1"/>
    </xf>
    <xf numFmtId="0" fontId="11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0" xfId="0" applyFont="1"/>
    <xf numFmtId="0" fontId="48" fillId="0" borderId="0" xfId="0" applyFont="1"/>
    <xf numFmtId="165" fontId="40" fillId="0" borderId="0" xfId="0" applyNumberFormat="1" applyFont="1" applyAlignment="1">
      <alignment horizontal="right"/>
    </xf>
    <xf numFmtId="0" fontId="8" fillId="0" borderId="0" xfId="0" applyFont="1"/>
    <xf numFmtId="9" fontId="8" fillId="0" borderId="0" xfId="1" applyFont="1" applyAlignment="1">
      <alignment horizontal="right"/>
    </xf>
    <xf numFmtId="9" fontId="8" fillId="11" borderId="0" xfId="1" applyFont="1" applyFill="1" applyAlignment="1">
      <alignment horizontal="right"/>
    </xf>
    <xf numFmtId="9" fontId="8" fillId="8" borderId="0" xfId="1" applyFont="1" applyFill="1" applyAlignment="1">
      <alignment horizontal="right"/>
    </xf>
    <xf numFmtId="9" fontId="8" fillId="12" borderId="0" xfId="1" applyFont="1" applyFill="1" applyAlignment="1">
      <alignment horizontal="right"/>
    </xf>
    <xf numFmtId="172" fontId="27" fillId="0" borderId="0" xfId="0" applyNumberFormat="1" applyFont="1" applyAlignment="1">
      <alignment horizontal="right"/>
    </xf>
    <xf numFmtId="0" fontId="49" fillId="0" borderId="0" xfId="3" applyFont="1" applyAlignment="1">
      <alignment horizontal="right"/>
    </xf>
    <xf numFmtId="168" fontId="7" fillId="0" borderId="0" xfId="0" applyNumberFormat="1" applyFont="1" applyAlignment="1">
      <alignment horizontal="right"/>
    </xf>
    <xf numFmtId="0" fontId="39" fillId="13" borderId="1" xfId="0" applyFont="1" applyFill="1" applyBorder="1" applyAlignment="1">
      <alignment horizontal="right"/>
    </xf>
    <xf numFmtId="165" fontId="39" fillId="13" borderId="0" xfId="0" applyNumberFormat="1" applyFont="1" applyFill="1"/>
    <xf numFmtId="9" fontId="40" fillId="13" borderId="0" xfId="0" applyNumberFormat="1" applyFont="1" applyFill="1"/>
    <xf numFmtId="9" fontId="40" fillId="13" borderId="0" xfId="1" applyFont="1" applyFill="1"/>
    <xf numFmtId="0" fontId="40" fillId="13" borderId="0" xfId="0" applyFont="1" applyFill="1"/>
    <xf numFmtId="165" fontId="40" fillId="13" borderId="0" xfId="0" applyNumberFormat="1" applyFont="1" applyFill="1"/>
    <xf numFmtId="3" fontId="39" fillId="13" borderId="0" xfId="0" applyNumberFormat="1" applyFont="1" applyFill="1"/>
    <xf numFmtId="9" fontId="15" fillId="13" borderId="0" xfId="1" applyFont="1" applyFill="1"/>
    <xf numFmtId="2" fontId="40" fillId="13" borderId="0" xfId="0" applyNumberFormat="1" applyFont="1" applyFill="1"/>
    <xf numFmtId="9" fontId="39" fillId="8" borderId="0" xfId="1" applyFont="1" applyFill="1" applyAlignment="1">
      <alignment horizontal="right"/>
    </xf>
    <xf numFmtId="9" fontId="40" fillId="8" borderId="0" xfId="1" applyFont="1" applyFill="1" applyAlignment="1">
      <alignment horizontal="right"/>
    </xf>
    <xf numFmtId="171" fontId="30" fillId="8" borderId="0" xfId="4" applyNumberFormat="1" applyFont="1" applyFill="1" applyAlignment="1">
      <alignment horizontal="right"/>
    </xf>
    <xf numFmtId="9" fontId="27" fillId="8" borderId="0" xfId="0" applyNumberFormat="1" applyFont="1" applyFill="1" applyAlignment="1">
      <alignment horizontal="right"/>
    </xf>
    <xf numFmtId="0" fontId="7" fillId="0" borderId="0" xfId="0" applyFont="1"/>
    <xf numFmtId="9" fontId="7" fillId="0" borderId="0" xfId="1" applyFont="1" applyAlignment="1">
      <alignment horizontal="right"/>
    </xf>
    <xf numFmtId="14" fontId="41" fillId="10" borderId="0" xfId="0" applyNumberFormat="1" applyFont="1" applyFill="1" applyAlignment="1">
      <alignment horizontal="right"/>
    </xf>
    <xf numFmtId="166" fontId="39" fillId="10" borderId="0" xfId="4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6" borderId="7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169" fontId="30" fillId="11" borderId="0" xfId="0" applyNumberFormat="1" applyFont="1" applyFill="1" applyAlignment="1">
      <alignment horizontal="right"/>
    </xf>
    <xf numFmtId="169" fontId="27" fillId="11" borderId="0" xfId="1" applyNumberFormat="1" applyFont="1" applyFill="1" applyAlignment="1">
      <alignment horizontal="right"/>
    </xf>
    <xf numFmtId="169" fontId="27" fillId="11" borderId="0" xfId="0" applyNumberFormat="1" applyFont="1" applyFill="1" applyAlignment="1">
      <alignment horizontal="right"/>
    </xf>
    <xf numFmtId="0" fontId="27" fillId="11" borderId="0" xfId="0" applyFont="1" applyFill="1" applyAlignment="1">
      <alignment horizontal="right"/>
    </xf>
    <xf numFmtId="9" fontId="40" fillId="11" borderId="0" xfId="1" applyFont="1" applyFill="1" applyAlignment="1">
      <alignment horizontal="right"/>
    </xf>
    <xf numFmtId="9" fontId="39" fillId="11" borderId="0" xfId="1" applyFont="1" applyFill="1" applyAlignment="1">
      <alignment horizontal="right"/>
    </xf>
    <xf numFmtId="0" fontId="6" fillId="0" borderId="0" xfId="0" applyFont="1" applyAlignment="1">
      <alignment horizontal="left" indent="2"/>
    </xf>
    <xf numFmtId="3" fontId="30" fillId="0" borderId="0" xfId="0" applyNumberFormat="1" applyFont="1"/>
    <xf numFmtId="0" fontId="5" fillId="0" borderId="0" xfId="0" applyFont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165" fontId="26" fillId="0" borderId="0" xfId="0" applyNumberFormat="1" applyFont="1"/>
    <xf numFmtId="165" fontId="31" fillId="0" borderId="0" xfId="0" applyNumberFormat="1" applyFont="1"/>
    <xf numFmtId="165" fontId="4" fillId="0" borderId="0" xfId="0" applyNumberFormat="1" applyFont="1"/>
    <xf numFmtId="165" fontId="36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0" fillId="14" borderId="0" xfId="0" applyNumberFormat="1" applyFont="1" applyFill="1"/>
    <xf numFmtId="0" fontId="20" fillId="6" borderId="0" xfId="0" applyFont="1" applyFill="1" applyAlignment="1">
      <alignment horizontal="center"/>
    </xf>
    <xf numFmtId="0" fontId="27" fillId="6" borderId="2" xfId="0" applyFont="1" applyFill="1" applyBorder="1" applyAlignment="1">
      <alignment horizontal="center"/>
    </xf>
    <xf numFmtId="0" fontId="30" fillId="4" borderId="4" xfId="0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/>
    </xf>
    <xf numFmtId="0" fontId="30" fillId="4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34" fillId="6" borderId="1" xfId="3" applyFill="1" applyBorder="1" applyAlignment="1">
      <alignment horizontal="center"/>
    </xf>
    <xf numFmtId="0" fontId="34" fillId="6" borderId="3" xfId="3" applyFill="1" applyBorder="1" applyAlignment="1">
      <alignment horizontal="center"/>
    </xf>
    <xf numFmtId="0" fontId="42" fillId="6" borderId="9" xfId="0" applyFont="1" applyFill="1" applyBorder="1" applyAlignment="1">
      <alignment horizontal="center"/>
    </xf>
    <xf numFmtId="0" fontId="42" fillId="6" borderId="11" xfId="0" applyFont="1" applyFill="1" applyBorder="1" applyAlignment="1">
      <alignment horizontal="center"/>
    </xf>
    <xf numFmtId="0" fontId="42" fillId="6" borderId="10" xfId="0" applyFont="1" applyFill="1" applyBorder="1" applyAlignment="1">
      <alignment horizontal="center"/>
    </xf>
    <xf numFmtId="0" fontId="42" fillId="0" borderId="9" xfId="0" applyFont="1" applyBorder="1" applyAlignment="1">
      <alignment horizontal="center"/>
    </xf>
    <xf numFmtId="0" fontId="42" fillId="0" borderId="11" xfId="0" applyFont="1" applyBorder="1" applyAlignment="1">
      <alignment horizontal="center"/>
    </xf>
    <xf numFmtId="0" fontId="42" fillId="0" borderId="10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2" xfId="0" applyFont="1" applyFill="1" applyBorder="1" applyAlignment="1">
      <alignment horizontal="center"/>
    </xf>
    <xf numFmtId="172" fontId="27" fillId="6" borderId="0" xfId="0" applyNumberFormat="1" applyFont="1" applyFill="1" applyAlignment="1">
      <alignment horizontal="center"/>
    </xf>
    <xf numFmtId="172" fontId="27" fillId="6" borderId="2" xfId="0" applyNumberFormat="1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6" borderId="3" xfId="0" applyFont="1" applyFill="1" applyBorder="1" applyAlignment="1">
      <alignment horizontal="center"/>
    </xf>
    <xf numFmtId="0" fontId="30" fillId="0" borderId="0" xfId="0" applyFont="1" applyFill="1" applyAlignment="1">
      <alignment horizontal="right"/>
    </xf>
    <xf numFmtId="14" fontId="38" fillId="0" borderId="0" xfId="0" applyNumberFormat="1" applyFont="1" applyFill="1" applyAlignment="1">
      <alignment horizontal="right"/>
    </xf>
    <xf numFmtId="165" fontId="30" fillId="0" borderId="0" xfId="0" applyNumberFormat="1" applyFont="1" applyFill="1" applyAlignment="1">
      <alignment horizontal="right"/>
    </xf>
    <xf numFmtId="165" fontId="27" fillId="0" borderId="0" xfId="0" applyNumberFormat="1" applyFont="1" applyFill="1" applyAlignment="1">
      <alignment horizontal="right"/>
    </xf>
    <xf numFmtId="169" fontId="27" fillId="0" borderId="0" xfId="1" applyNumberFormat="1" applyFont="1" applyFill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4" fontId="27" fillId="0" borderId="0" xfId="0" applyNumberFormat="1" applyFont="1" applyFill="1" applyAlignment="1">
      <alignment horizontal="right"/>
    </xf>
    <xf numFmtId="0" fontId="27" fillId="0" borderId="0" xfId="0" applyFont="1" applyFill="1" applyAlignment="1">
      <alignment horizontal="right"/>
    </xf>
    <xf numFmtId="9" fontId="27" fillId="0" borderId="0" xfId="1" applyFont="1" applyFill="1" applyAlignment="1">
      <alignment horizontal="right"/>
    </xf>
    <xf numFmtId="9" fontId="30" fillId="0" borderId="0" xfId="1" applyFont="1" applyFill="1" applyAlignment="1">
      <alignment horizontal="right"/>
    </xf>
    <xf numFmtId="9" fontId="8" fillId="0" borderId="0" xfId="1" applyFont="1" applyFill="1" applyAlignment="1">
      <alignment horizontal="right"/>
    </xf>
    <xf numFmtId="171" fontId="30" fillId="0" borderId="0" xfId="4" applyNumberFormat="1" applyFont="1" applyFill="1" applyAlignment="1">
      <alignment horizontal="right"/>
    </xf>
    <xf numFmtId="9" fontId="27" fillId="0" borderId="0" xfId="0" applyNumberFormat="1" applyFont="1" applyFill="1" applyAlignment="1">
      <alignment horizontal="right"/>
    </xf>
    <xf numFmtId="0" fontId="40" fillId="0" borderId="0" xfId="0" applyFont="1" applyFill="1" applyAlignment="1">
      <alignment horizontal="right"/>
    </xf>
    <xf numFmtId="0" fontId="38" fillId="0" borderId="0" xfId="0" applyFont="1" applyFill="1" applyAlignment="1">
      <alignment horizontal="right"/>
    </xf>
    <xf numFmtId="165" fontId="30" fillId="0" borderId="0" xfId="0" applyNumberFormat="1" applyFont="1" applyFill="1"/>
    <xf numFmtId="165" fontId="19" fillId="0" borderId="0" xfId="0" applyNumberFormat="1" applyFont="1" applyFill="1"/>
    <xf numFmtId="165" fontId="22" fillId="0" borderId="0" xfId="0" applyNumberFormat="1" applyFont="1" applyFill="1"/>
    <xf numFmtId="165" fontId="27" fillId="0" borderId="0" xfId="0" applyNumberFormat="1" applyFont="1" applyFill="1"/>
    <xf numFmtId="0" fontId="27" fillId="0" borderId="0" xfId="0" applyFont="1" applyFill="1"/>
    <xf numFmtId="0" fontId="30" fillId="0" borderId="0" xfId="0" applyFont="1" applyFill="1"/>
    <xf numFmtId="0" fontId="10" fillId="0" borderId="0" xfId="0" applyFont="1" applyFill="1"/>
    <xf numFmtId="0" fontId="40" fillId="0" borderId="0" xfId="0" applyFont="1" applyFill="1"/>
    <xf numFmtId="0" fontId="3" fillId="0" borderId="0" xfId="0" applyFont="1" applyFill="1"/>
    <xf numFmtId="169" fontId="27" fillId="11" borderId="0" xfId="0" applyNumberFormat="1" applyFont="1" applyFill="1"/>
    <xf numFmtId="168" fontId="27" fillId="11" borderId="0" xfId="0" applyNumberFormat="1" applyFont="1" applyFill="1"/>
    <xf numFmtId="0" fontId="30" fillId="11" borderId="0" xfId="0" applyFont="1" applyFill="1"/>
    <xf numFmtId="0" fontId="10" fillId="11" borderId="0" xfId="0" applyFont="1" applyFill="1"/>
    <xf numFmtId="0" fontId="3" fillId="11" borderId="0" xfId="0" applyFont="1" applyFill="1"/>
    <xf numFmtId="0" fontId="47" fillId="0" borderId="0" xfId="3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1" fillId="0" borderId="2" xfId="5" applyFont="1" applyFill="1" applyBorder="1" applyAlignment="1">
      <alignment horizontal="right"/>
    </xf>
    <xf numFmtId="0" fontId="1" fillId="6" borderId="0" xfId="0" applyFont="1" applyFill="1" applyAlignment="1">
      <alignment horizontal="center"/>
    </xf>
    <xf numFmtId="17" fontId="27" fillId="6" borderId="2" xfId="0" applyNumberFormat="1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683190</xdr:colOff>
      <xdr:row>22</xdr:row>
      <xdr:rowOff>12700</xdr:rowOff>
    </xdr:from>
    <xdr:to>
      <xdr:col>36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14</xdr:col>
      <xdr:colOff>9525</xdr:colOff>
      <xdr:row>126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1401425" y="0"/>
          <a:ext cx="0" cy="2474595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122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33096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abSelected="1" zoomScaleNormal="100" workbookViewId="0">
      <selection activeCell="G18" sqref="G18:H18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61" t="s">
        <v>125</v>
      </c>
      <c r="M1" s="262"/>
      <c r="N1" s="262"/>
      <c r="O1" s="262"/>
      <c r="P1" s="262"/>
      <c r="Q1" s="262"/>
      <c r="R1" s="262"/>
      <c r="S1" s="262"/>
      <c r="T1" s="262"/>
      <c r="U1" s="263"/>
      <c r="W1" s="264" t="s">
        <v>127</v>
      </c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6"/>
    </row>
    <row r="2" spans="2:38" ht="18.75" x14ac:dyDescent="0.3">
      <c r="B2" s="17" t="s">
        <v>57</v>
      </c>
      <c r="K2" s="63"/>
      <c r="L2" s="62" t="s">
        <v>123</v>
      </c>
      <c r="M2" s="62" t="s">
        <v>124</v>
      </c>
      <c r="N2" s="106"/>
      <c r="O2" s="62" t="s">
        <v>190</v>
      </c>
      <c r="P2" s="62" t="s">
        <v>186</v>
      </c>
      <c r="Q2" s="189"/>
      <c r="R2" s="188">
        <v>44757</v>
      </c>
      <c r="S2" s="188">
        <v>44788</v>
      </c>
      <c r="T2" s="188"/>
      <c r="U2" s="226"/>
    </row>
    <row r="3" spans="2:38" ht="15.75" x14ac:dyDescent="0.25">
      <c r="B3" s="44" t="s">
        <v>111</v>
      </c>
      <c r="K3" s="29" t="s">
        <v>81</v>
      </c>
      <c r="L3" s="56">
        <v>44562</v>
      </c>
      <c r="M3" s="56">
        <v>44593</v>
      </c>
      <c r="N3" s="107">
        <v>44621</v>
      </c>
      <c r="O3" s="56">
        <v>44652</v>
      </c>
      <c r="P3" s="56">
        <v>44682</v>
      </c>
      <c r="Q3" s="107">
        <v>44713</v>
      </c>
      <c r="R3" s="56">
        <v>44743</v>
      </c>
      <c r="S3" s="56">
        <v>44774</v>
      </c>
      <c r="T3" s="56">
        <v>44805</v>
      </c>
      <c r="U3" s="107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7">
        <v>54.7</v>
      </c>
      <c r="M4" s="57">
        <v>55.1</v>
      </c>
      <c r="N4" s="108"/>
      <c r="O4" s="57">
        <v>53.1</v>
      </c>
      <c r="P4" s="57">
        <v>50.4</v>
      </c>
      <c r="Q4" s="190"/>
      <c r="R4" s="57">
        <v>58.5</v>
      </c>
      <c r="S4" s="57">
        <v>59.9</v>
      </c>
      <c r="T4" s="57">
        <v>57.8</v>
      </c>
      <c r="U4" s="190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54" t="s">
        <v>82</v>
      </c>
      <c r="C5" s="255"/>
      <c r="D5" s="256"/>
      <c r="F5" s="254" t="s">
        <v>193</v>
      </c>
      <c r="G5" s="255"/>
      <c r="H5" s="256"/>
      <c r="K5" s="27" t="s">
        <v>73</v>
      </c>
      <c r="L5" s="58" t="s">
        <v>33</v>
      </c>
      <c r="M5" s="58" t="s">
        <v>33</v>
      </c>
      <c r="N5" s="109"/>
      <c r="O5" s="58" t="s">
        <v>33</v>
      </c>
      <c r="P5" s="58" t="s">
        <v>33</v>
      </c>
      <c r="Q5" s="191" t="s">
        <v>33</v>
      </c>
      <c r="R5" s="58" t="s">
        <v>33</v>
      </c>
      <c r="S5" s="58" t="s">
        <v>33</v>
      </c>
      <c r="T5" s="58" t="s">
        <v>33</v>
      </c>
      <c r="U5" s="191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41.46</v>
      </c>
      <c r="D6" s="42"/>
      <c r="F6" s="169" t="s">
        <v>194</v>
      </c>
      <c r="G6" s="257" t="s">
        <v>284</v>
      </c>
      <c r="H6" s="253"/>
      <c r="K6" s="27" t="s">
        <v>74</v>
      </c>
      <c r="L6" s="59">
        <v>0.32</v>
      </c>
      <c r="M6" s="59">
        <v>0.28000000000000003</v>
      </c>
      <c r="N6" s="109"/>
      <c r="O6" s="59">
        <v>0.23</v>
      </c>
      <c r="P6" s="59">
        <v>0.17</v>
      </c>
      <c r="Q6" s="192"/>
      <c r="R6" s="59">
        <v>0.26</v>
      </c>
      <c r="S6" s="59">
        <v>0.24</v>
      </c>
      <c r="T6" s="59">
        <v>0.27</v>
      </c>
      <c r="U6" s="192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Model'!N20</f>
        <v>601.85900000000004</v>
      </c>
      <c r="D7" s="305" t="s">
        <v>15</v>
      </c>
      <c r="F7" s="169" t="s">
        <v>283</v>
      </c>
      <c r="G7" s="258">
        <v>2021</v>
      </c>
      <c r="H7" s="253"/>
      <c r="K7" s="27"/>
      <c r="L7" s="58"/>
      <c r="M7" s="58"/>
      <c r="N7" s="109"/>
      <c r="O7" s="58"/>
      <c r="P7" s="58"/>
      <c r="Q7" s="191"/>
      <c r="R7" s="58"/>
      <c r="S7" s="58"/>
      <c r="T7" s="58"/>
      <c r="U7" s="191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24953.074140000001</v>
      </c>
      <c r="D8" s="39"/>
      <c r="F8" s="169" t="s">
        <v>195</v>
      </c>
      <c r="G8" s="258">
        <v>2004</v>
      </c>
      <c r="H8" s="253"/>
      <c r="K8" s="27" t="s">
        <v>75</v>
      </c>
      <c r="L8" s="58" t="s">
        <v>33</v>
      </c>
      <c r="M8" s="58" t="s">
        <v>33</v>
      </c>
      <c r="N8" s="109"/>
      <c r="O8" s="58" t="s">
        <v>33</v>
      </c>
      <c r="P8" s="58" t="s">
        <v>33</v>
      </c>
      <c r="Q8" s="191" t="s">
        <v>33</v>
      </c>
      <c r="R8" s="58" t="s">
        <v>33</v>
      </c>
      <c r="S8" s="58" t="s">
        <v>33</v>
      </c>
      <c r="T8" s="58" t="s">
        <v>33</v>
      </c>
      <c r="U8" s="191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Model'!N66</f>
        <v>2977.4740000000002</v>
      </c>
      <c r="D9" s="305" t="s">
        <v>15</v>
      </c>
      <c r="F9" s="169" t="s">
        <v>62</v>
      </c>
      <c r="G9" s="258">
        <f>AL4</f>
        <v>58.8</v>
      </c>
      <c r="H9" s="253"/>
      <c r="K9" s="27" t="s">
        <v>77</v>
      </c>
      <c r="L9" s="58" t="s">
        <v>33</v>
      </c>
      <c r="M9" s="58" t="s">
        <v>33</v>
      </c>
      <c r="N9" s="109"/>
      <c r="O9" s="58" t="s">
        <v>33</v>
      </c>
      <c r="P9" s="58" t="s">
        <v>33</v>
      </c>
      <c r="Q9" s="191" t="s">
        <v>33</v>
      </c>
      <c r="R9" s="58" t="s">
        <v>33</v>
      </c>
      <c r="S9" s="58" t="s">
        <v>33</v>
      </c>
      <c r="T9" s="58" t="s">
        <v>33</v>
      </c>
      <c r="U9" s="191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Model'!N67</f>
        <v>988.98400000000004</v>
      </c>
      <c r="D10" s="305" t="s">
        <v>15</v>
      </c>
      <c r="F10" s="169"/>
      <c r="G10" s="258"/>
      <c r="H10" s="253"/>
      <c r="K10" s="27" t="s">
        <v>78</v>
      </c>
      <c r="L10" s="58" t="s">
        <v>33</v>
      </c>
      <c r="M10" s="58" t="s">
        <v>33</v>
      </c>
      <c r="N10" s="109"/>
      <c r="O10" s="58" t="s">
        <v>33</v>
      </c>
      <c r="P10" s="58" t="s">
        <v>33</v>
      </c>
      <c r="Q10" s="191" t="s">
        <v>33</v>
      </c>
      <c r="R10" s="58" t="s">
        <v>33</v>
      </c>
      <c r="S10" s="58" t="s">
        <v>33</v>
      </c>
      <c r="T10" s="58" t="s">
        <v>33</v>
      </c>
      <c r="U10" s="191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48">
        <f t="shared" si="8"/>
        <v>0.19718309859154926</v>
      </c>
      <c r="AK10" s="148">
        <f t="shared" ref="AK10:AL10" si="9">AK8/AG8-1</f>
        <v>0.12558139534883717</v>
      </c>
      <c r="AL10" s="148">
        <f t="shared" si="9"/>
        <v>0.14285714285714279</v>
      </c>
    </row>
    <row r="11" spans="2:38" x14ac:dyDescent="0.25">
      <c r="B11" s="38" t="s">
        <v>7</v>
      </c>
      <c r="C11" s="9">
        <f>C9-C10</f>
        <v>1988.4900000000002</v>
      </c>
      <c r="D11" s="305" t="s">
        <v>15</v>
      </c>
      <c r="F11" s="169" t="s">
        <v>198</v>
      </c>
      <c r="G11" s="306" t="s">
        <v>15</v>
      </c>
      <c r="H11" s="307">
        <v>42036</v>
      </c>
      <c r="K11" s="27"/>
      <c r="L11" s="58"/>
      <c r="M11" s="58"/>
      <c r="N11" s="109"/>
      <c r="O11" s="58"/>
      <c r="P11" s="58"/>
      <c r="Q11" s="191"/>
      <c r="R11" s="58"/>
      <c r="S11" s="58"/>
      <c r="T11" s="58"/>
      <c r="U11" s="191"/>
      <c r="V11" s="24"/>
      <c r="W11" s="24"/>
      <c r="AC11" s="22"/>
      <c r="AJ11" s="149"/>
      <c r="AK11" s="149"/>
    </row>
    <row r="12" spans="2:38" ht="15.75" x14ac:dyDescent="0.25">
      <c r="B12" s="40" t="s">
        <v>5</v>
      </c>
      <c r="C12" s="43">
        <f>C8-C9+C10</f>
        <v>22964.584140000003</v>
      </c>
      <c r="D12" s="41"/>
      <c r="F12" s="170" t="s">
        <v>196</v>
      </c>
      <c r="G12" s="259" t="s">
        <v>197</v>
      </c>
      <c r="H12" s="260"/>
      <c r="K12" s="27" t="s">
        <v>76</v>
      </c>
      <c r="L12" s="58" t="s">
        <v>33</v>
      </c>
      <c r="M12" s="58" t="s">
        <v>33</v>
      </c>
      <c r="N12" s="109"/>
      <c r="O12" s="58" t="s">
        <v>33</v>
      </c>
      <c r="P12" s="58" t="s">
        <v>33</v>
      </c>
      <c r="Q12" s="191" t="s">
        <v>33</v>
      </c>
      <c r="R12" s="58" t="s">
        <v>33</v>
      </c>
      <c r="S12" s="58" t="s">
        <v>33</v>
      </c>
      <c r="T12" s="58" t="s">
        <v>33</v>
      </c>
      <c r="U12" s="191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8" t="s">
        <v>33</v>
      </c>
      <c r="M13" s="58" t="s">
        <v>33</v>
      </c>
      <c r="N13" s="109"/>
      <c r="O13" s="58" t="s">
        <v>33</v>
      </c>
      <c r="P13" s="58" t="s">
        <v>33</v>
      </c>
      <c r="Q13" s="191" t="s">
        <v>33</v>
      </c>
      <c r="R13" s="58" t="s">
        <v>33</v>
      </c>
      <c r="S13" s="58" t="s">
        <v>33</v>
      </c>
      <c r="T13" s="58" t="s">
        <v>33</v>
      </c>
      <c r="U13" s="191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8" t="s">
        <v>33</v>
      </c>
      <c r="M14" s="58" t="s">
        <v>33</v>
      </c>
      <c r="N14" s="109"/>
      <c r="O14" s="58" t="s">
        <v>33</v>
      </c>
      <c r="P14" s="58" t="s">
        <v>33</v>
      </c>
      <c r="Q14" s="191" t="s">
        <v>33</v>
      </c>
      <c r="R14" s="58" t="s">
        <v>33</v>
      </c>
      <c r="S14" s="58" t="s">
        <v>33</v>
      </c>
      <c r="T14" s="58" t="s">
        <v>33</v>
      </c>
      <c r="U14" s="191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254" t="s">
        <v>130</v>
      </c>
      <c r="C15" s="255"/>
      <c r="D15" s="256"/>
      <c r="F15" s="254" t="s">
        <v>203</v>
      </c>
      <c r="G15" s="255"/>
      <c r="H15" s="256"/>
      <c r="K15" s="27"/>
      <c r="L15" s="60"/>
      <c r="M15" s="60"/>
      <c r="N15" s="106"/>
      <c r="O15" s="60"/>
      <c r="P15" s="60"/>
      <c r="Q15" s="193"/>
      <c r="R15" s="60"/>
      <c r="S15" s="60"/>
      <c r="T15" s="60"/>
      <c r="U15" s="193"/>
    </row>
    <row r="16" spans="2:38" ht="15" customHeight="1" x14ac:dyDescent="0.25">
      <c r="B16" s="88" t="s">
        <v>132</v>
      </c>
      <c r="C16" s="252" t="s">
        <v>131</v>
      </c>
      <c r="D16" s="253"/>
      <c r="F16" s="169" t="s">
        <v>204</v>
      </c>
      <c r="G16" s="269">
        <f>C6/'Financial Model'!N64</f>
        <v>81.803970495189361</v>
      </c>
      <c r="H16" s="270"/>
      <c r="J16" s="30" t="s">
        <v>86</v>
      </c>
      <c r="K16" s="26" t="s">
        <v>83</v>
      </c>
      <c r="L16" s="61">
        <v>4200</v>
      </c>
      <c r="M16" s="61">
        <v>3800</v>
      </c>
      <c r="N16" s="110"/>
      <c r="O16" s="61">
        <v>3800</v>
      </c>
      <c r="P16" s="61">
        <v>3600</v>
      </c>
      <c r="Q16" s="193"/>
      <c r="R16" s="61">
        <v>4700</v>
      </c>
      <c r="S16" s="61">
        <v>4700</v>
      </c>
      <c r="T16" s="61">
        <v>4000</v>
      </c>
      <c r="U16" s="227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39">
        <v>13400</v>
      </c>
    </row>
    <row r="17" spans="2:38" x14ac:dyDescent="0.25">
      <c r="B17" s="100" t="s">
        <v>164</v>
      </c>
      <c r="C17" s="267" t="s">
        <v>165</v>
      </c>
      <c r="D17" s="268"/>
      <c r="F17" s="169" t="s">
        <v>213</v>
      </c>
      <c r="G17" s="269">
        <f>C8/SUM('Financial Model'!$K$3:$N$3)</f>
        <v>11.214602687937182</v>
      </c>
      <c r="H17" s="270"/>
      <c r="K17" s="27" t="s">
        <v>84</v>
      </c>
      <c r="L17" s="58" t="s">
        <v>33</v>
      </c>
      <c r="M17" s="58" t="s">
        <v>33</v>
      </c>
      <c r="N17" s="109"/>
      <c r="O17" s="58" t="s">
        <v>33</v>
      </c>
      <c r="P17" s="58" t="s">
        <v>33</v>
      </c>
      <c r="Q17" s="191"/>
      <c r="R17" s="58" t="s">
        <v>33</v>
      </c>
      <c r="S17" s="58" t="s">
        <v>33</v>
      </c>
      <c r="T17" s="58" t="s">
        <v>33</v>
      </c>
      <c r="U17" s="191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8" t="s">
        <v>133</v>
      </c>
      <c r="C18" s="252" t="s">
        <v>134</v>
      </c>
      <c r="D18" s="253"/>
      <c r="F18" s="169" t="s">
        <v>214</v>
      </c>
      <c r="G18" s="269">
        <f>C6/SUM('Financial Model'!K19:N19)</f>
        <v>-26.466723449006508</v>
      </c>
      <c r="H18" s="270"/>
      <c r="K18" s="27" t="s">
        <v>85</v>
      </c>
      <c r="L18" s="59">
        <v>0.26</v>
      </c>
      <c r="M18" s="59">
        <v>0.21</v>
      </c>
      <c r="N18" s="109"/>
      <c r="O18" s="59">
        <v>0.18</v>
      </c>
      <c r="P18" s="59">
        <v>0.1</v>
      </c>
      <c r="Q18" s="192"/>
      <c r="R18" s="59">
        <v>0.25</v>
      </c>
      <c r="S18" s="59">
        <v>0.18</v>
      </c>
      <c r="T18" s="59">
        <v>0.16</v>
      </c>
      <c r="U18" s="192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48">
        <f t="shared" si="16"/>
        <v>0.25244573082489175</v>
      </c>
      <c r="AK18" s="148">
        <f t="shared" ref="AK18:AL18" si="17">AK16/AG16-1</f>
        <v>0.16040254672417342</v>
      </c>
      <c r="AL18" s="148">
        <f t="shared" si="17"/>
        <v>0.198140200286123</v>
      </c>
    </row>
    <row r="19" spans="2:38" x14ac:dyDescent="0.25">
      <c r="B19" s="86"/>
      <c r="C19" s="258"/>
      <c r="D19" s="253"/>
      <c r="F19" s="169"/>
      <c r="G19" s="258"/>
      <c r="H19" s="253"/>
      <c r="K19" s="27"/>
      <c r="L19" s="60"/>
      <c r="M19" s="60"/>
    </row>
    <row r="20" spans="2:38" ht="15.75" x14ac:dyDescent="0.25">
      <c r="B20" s="87"/>
      <c r="C20" s="271"/>
      <c r="D20" s="272"/>
      <c r="F20" s="170"/>
      <c r="G20" s="259"/>
      <c r="H20" s="260"/>
      <c r="J20" s="30"/>
      <c r="K20" s="186" t="s">
        <v>212</v>
      </c>
      <c r="M20" s="5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86" t="s">
        <v>211</v>
      </c>
    </row>
    <row r="22" spans="2:38" x14ac:dyDescent="0.25">
      <c r="K22" s="186" t="s">
        <v>210</v>
      </c>
    </row>
    <row r="23" spans="2:38" x14ac:dyDescent="0.25">
      <c r="B23" s="254" t="s">
        <v>159</v>
      </c>
      <c r="C23" s="255"/>
      <c r="D23" s="255"/>
      <c r="E23" s="255"/>
      <c r="F23" s="255"/>
      <c r="G23" s="256"/>
      <c r="K23" s="186" t="s">
        <v>209</v>
      </c>
    </row>
    <row r="24" spans="2:38" x14ac:dyDescent="0.25">
      <c r="B24" s="103" t="s">
        <v>169</v>
      </c>
      <c r="C24" s="91"/>
      <c r="D24" s="91"/>
      <c r="E24" s="91"/>
      <c r="F24" s="91"/>
      <c r="G24" s="92"/>
      <c r="K24" s="60" t="s">
        <v>167</v>
      </c>
    </row>
    <row r="25" spans="2:38" x14ac:dyDescent="0.25">
      <c r="B25" s="103" t="s">
        <v>170</v>
      </c>
      <c r="C25" s="91"/>
      <c r="D25" s="91"/>
      <c r="E25" s="91"/>
      <c r="F25" s="91"/>
      <c r="G25" s="92"/>
      <c r="K25" s="89" t="s">
        <v>139</v>
      </c>
      <c r="L25" s="89" t="s">
        <v>148</v>
      </c>
    </row>
    <row r="26" spans="2:38" x14ac:dyDescent="0.25">
      <c r="B26" s="93"/>
      <c r="C26" s="91"/>
      <c r="D26" s="91"/>
      <c r="E26" s="91"/>
      <c r="F26" s="91"/>
      <c r="G26" s="92"/>
      <c r="K26" s="89" t="s">
        <v>140</v>
      </c>
      <c r="L26" s="89" t="s">
        <v>137</v>
      </c>
    </row>
    <row r="27" spans="2:38" x14ac:dyDescent="0.25">
      <c r="B27" s="93" t="s">
        <v>149</v>
      </c>
      <c r="C27" s="91"/>
      <c r="D27" s="91"/>
      <c r="E27" s="91"/>
      <c r="F27" s="94"/>
      <c r="G27" s="92"/>
      <c r="K27" s="89" t="s">
        <v>141</v>
      </c>
      <c r="L27" s="89" t="s">
        <v>138</v>
      </c>
    </row>
    <row r="28" spans="2:38" x14ac:dyDescent="0.25">
      <c r="B28" s="90" t="s">
        <v>162</v>
      </c>
      <c r="C28" s="91"/>
      <c r="D28" s="91"/>
      <c r="E28" s="91"/>
      <c r="F28" s="94"/>
      <c r="G28" s="92"/>
    </row>
    <row r="29" spans="2:38" x14ac:dyDescent="0.25">
      <c r="B29" s="99" t="s">
        <v>163</v>
      </c>
      <c r="C29" s="91"/>
      <c r="D29" s="91"/>
      <c r="E29" s="91"/>
      <c r="F29" s="94"/>
      <c r="G29" s="92"/>
      <c r="K29" s="89" t="s">
        <v>143</v>
      </c>
      <c r="L29" s="89" t="s">
        <v>142</v>
      </c>
    </row>
    <row r="30" spans="2:38" x14ac:dyDescent="0.25">
      <c r="B30" s="90" t="s">
        <v>161</v>
      </c>
      <c r="C30" s="91"/>
      <c r="D30" s="91"/>
      <c r="E30" s="91"/>
      <c r="F30" s="94"/>
      <c r="G30" s="92"/>
      <c r="J30" s="89"/>
      <c r="K30" s="89"/>
    </row>
    <row r="31" spans="2:38" x14ac:dyDescent="0.25">
      <c r="B31" s="95" t="s">
        <v>150</v>
      </c>
      <c r="C31" s="96"/>
      <c r="D31" s="96"/>
      <c r="E31" s="96"/>
      <c r="F31" s="97"/>
      <c r="G31" s="98"/>
      <c r="J31" s="7"/>
      <c r="K31" s="254" t="s">
        <v>181</v>
      </c>
      <c r="L31" s="255"/>
      <c r="M31" s="255"/>
      <c r="N31" s="256"/>
    </row>
    <row r="32" spans="2:38" x14ac:dyDescent="0.25">
      <c r="J32" s="7"/>
      <c r="K32" s="161" t="s">
        <v>176</v>
      </c>
      <c r="L32" s="91"/>
      <c r="M32" s="91"/>
      <c r="N32" s="92"/>
    </row>
    <row r="33" spans="2:14" x14ac:dyDescent="0.25">
      <c r="B33" s="254" t="s">
        <v>187</v>
      </c>
      <c r="C33" s="255"/>
      <c r="D33" s="255"/>
      <c r="E33" s="255"/>
      <c r="F33" s="255"/>
      <c r="G33" s="256"/>
      <c r="J33" s="7"/>
      <c r="K33" s="161" t="s">
        <v>177</v>
      </c>
      <c r="L33" s="158" t="s">
        <v>178</v>
      </c>
      <c r="M33" s="158"/>
      <c r="N33" s="92"/>
    </row>
    <row r="34" spans="2:14" x14ac:dyDescent="0.25">
      <c r="B34" s="194">
        <v>44743</v>
      </c>
      <c r="C34" s="195" t="s">
        <v>205</v>
      </c>
      <c r="D34" s="91"/>
      <c r="E34" s="91"/>
      <c r="F34" s="91"/>
      <c r="G34" s="92"/>
      <c r="J34" s="7"/>
      <c r="K34" s="161" t="s">
        <v>179</v>
      </c>
      <c r="L34" s="159" t="s">
        <v>180</v>
      </c>
      <c r="M34" s="159"/>
      <c r="N34" s="92"/>
    </row>
    <row r="35" spans="2:14" x14ac:dyDescent="0.25">
      <c r="B35" s="155"/>
      <c r="C35" s="196" t="s">
        <v>206</v>
      </c>
      <c r="D35" s="91"/>
      <c r="E35" s="91"/>
      <c r="F35" s="91"/>
      <c r="G35" s="92"/>
      <c r="J35" s="197" t="s">
        <v>207</v>
      </c>
      <c r="K35" s="161" t="s">
        <v>184</v>
      </c>
      <c r="L35" s="160" t="s">
        <v>185</v>
      </c>
      <c r="M35" s="160"/>
      <c r="N35" s="92"/>
    </row>
    <row r="36" spans="2:14" x14ac:dyDescent="0.25">
      <c r="B36" s="155"/>
      <c r="C36" s="91"/>
      <c r="D36" s="91"/>
      <c r="E36" s="91"/>
      <c r="F36" s="91"/>
      <c r="G36" s="92"/>
      <c r="J36" s="7"/>
      <c r="K36" s="162" t="s">
        <v>151</v>
      </c>
      <c r="L36" s="91"/>
      <c r="M36" s="91"/>
      <c r="N36" s="92"/>
    </row>
    <row r="37" spans="2:14" x14ac:dyDescent="0.25">
      <c r="B37" s="155"/>
      <c r="C37" s="91"/>
      <c r="D37" s="91"/>
      <c r="E37" s="91"/>
      <c r="F37" s="91"/>
      <c r="G37" s="92"/>
      <c r="J37" s="7"/>
      <c r="K37" s="162" t="s">
        <v>152</v>
      </c>
      <c r="L37" s="91"/>
      <c r="M37" s="91"/>
      <c r="N37" s="92"/>
    </row>
    <row r="38" spans="2:14" x14ac:dyDescent="0.25">
      <c r="B38" s="155"/>
      <c r="C38" s="91"/>
      <c r="D38" s="91"/>
      <c r="E38" s="91"/>
      <c r="F38" s="91"/>
      <c r="G38" s="92"/>
      <c r="J38" s="7"/>
      <c r="K38" s="162" t="s">
        <v>153</v>
      </c>
      <c r="L38" s="91"/>
      <c r="M38" s="91"/>
      <c r="N38" s="92"/>
    </row>
    <row r="39" spans="2:14" x14ac:dyDescent="0.25">
      <c r="B39" s="155"/>
      <c r="C39" s="91"/>
      <c r="D39" s="91"/>
      <c r="E39" s="91"/>
      <c r="F39" s="91"/>
      <c r="G39" s="92"/>
      <c r="J39" s="7"/>
      <c r="K39" s="162" t="s">
        <v>166</v>
      </c>
      <c r="L39" s="91"/>
      <c r="M39" s="91"/>
      <c r="N39" s="92"/>
    </row>
    <row r="40" spans="2:14" x14ac:dyDescent="0.25">
      <c r="B40" s="166">
        <v>44682</v>
      </c>
      <c r="C40" s="157" t="s">
        <v>189</v>
      </c>
      <c r="D40" s="91"/>
      <c r="E40" s="91"/>
      <c r="F40" s="91"/>
      <c r="G40" s="92"/>
      <c r="J40" s="197" t="s">
        <v>208</v>
      </c>
      <c r="K40" s="161" t="s">
        <v>182</v>
      </c>
      <c r="L40" s="91"/>
      <c r="M40" s="91"/>
      <c r="N40" s="92"/>
    </row>
    <row r="41" spans="2:14" x14ac:dyDescent="0.25">
      <c r="B41" s="155"/>
      <c r="C41" s="165" t="s">
        <v>188</v>
      </c>
      <c r="D41" s="91"/>
      <c r="E41" s="91"/>
      <c r="F41" s="91"/>
      <c r="G41" s="92"/>
      <c r="J41" s="7"/>
      <c r="K41" s="161" t="s">
        <v>183</v>
      </c>
      <c r="L41" s="91"/>
      <c r="M41" s="91"/>
      <c r="N41" s="92"/>
    </row>
    <row r="42" spans="2:14" x14ac:dyDescent="0.25">
      <c r="B42" s="156"/>
      <c r="C42" s="96"/>
      <c r="D42" s="96"/>
      <c r="E42" s="96"/>
      <c r="F42" s="96"/>
      <c r="G42" s="98"/>
      <c r="J42" s="7"/>
      <c r="K42" s="163"/>
      <c r="L42" s="91"/>
      <c r="M42" s="91"/>
      <c r="N42" s="92"/>
    </row>
    <row r="43" spans="2:14" x14ac:dyDescent="0.25">
      <c r="J43" s="7"/>
      <c r="K43" s="168" t="s">
        <v>191</v>
      </c>
      <c r="L43" s="159" t="s">
        <v>192</v>
      </c>
      <c r="M43" s="91"/>
      <c r="N43" s="92"/>
    </row>
    <row r="44" spans="2:14" x14ac:dyDescent="0.25">
      <c r="J44" s="7"/>
      <c r="K44" s="162" t="s">
        <v>154</v>
      </c>
      <c r="L44" s="91"/>
      <c r="M44" s="91"/>
      <c r="N44" s="92"/>
    </row>
    <row r="45" spans="2:14" x14ac:dyDescent="0.25">
      <c r="B45" s="200" t="s">
        <v>215</v>
      </c>
      <c r="J45" s="7"/>
      <c r="K45" s="162" t="s">
        <v>155</v>
      </c>
      <c r="L45" s="91"/>
      <c r="M45" s="91"/>
      <c r="N45" s="92"/>
    </row>
    <row r="46" spans="2:14" x14ac:dyDescent="0.25">
      <c r="J46" s="7"/>
      <c r="K46" s="162" t="s">
        <v>156</v>
      </c>
      <c r="L46" s="91"/>
      <c r="M46" s="91"/>
      <c r="N46" s="92"/>
    </row>
    <row r="47" spans="2:14" x14ac:dyDescent="0.25">
      <c r="B47" s="1" t="s">
        <v>220</v>
      </c>
      <c r="J47" s="7"/>
      <c r="K47" s="162" t="s">
        <v>157</v>
      </c>
      <c r="L47" s="91"/>
      <c r="M47" s="91"/>
      <c r="N47" s="92"/>
    </row>
    <row r="48" spans="2:14" x14ac:dyDescent="0.25">
      <c r="B48" s="228" t="s">
        <v>219</v>
      </c>
      <c r="J48" s="7"/>
      <c r="K48" s="230" t="s">
        <v>158</v>
      </c>
      <c r="L48" s="91"/>
      <c r="M48" s="91"/>
      <c r="N48" s="92"/>
    </row>
    <row r="49" spans="2:14" x14ac:dyDescent="0.25">
      <c r="B49" s="228" t="s">
        <v>221</v>
      </c>
      <c r="K49" s="163"/>
      <c r="L49" s="91"/>
      <c r="M49" s="91"/>
      <c r="N49" s="92"/>
    </row>
    <row r="50" spans="2:14" x14ac:dyDescent="0.25">
      <c r="B50" s="229" t="s">
        <v>222</v>
      </c>
      <c r="J50" s="231" t="s">
        <v>238</v>
      </c>
      <c r="K50" s="230" t="s">
        <v>236</v>
      </c>
      <c r="L50" s="159" t="s">
        <v>237</v>
      </c>
      <c r="M50" s="91"/>
      <c r="N50" s="92"/>
    </row>
    <row r="51" spans="2:14" x14ac:dyDescent="0.25">
      <c r="B51" s="229" t="s">
        <v>223</v>
      </c>
      <c r="K51" s="164"/>
      <c r="L51" s="96"/>
      <c r="M51" s="96"/>
      <c r="N51" s="98"/>
    </row>
    <row r="52" spans="2:14" x14ac:dyDescent="0.25">
      <c r="B52" s="229" t="s">
        <v>224</v>
      </c>
    </row>
    <row r="53" spans="2:14" x14ac:dyDescent="0.25">
      <c r="B53" s="229" t="s">
        <v>225</v>
      </c>
    </row>
    <row r="54" spans="2:14" x14ac:dyDescent="0.25">
      <c r="K54" s="19" t="s">
        <v>58</v>
      </c>
    </row>
    <row r="55" spans="2:14" x14ac:dyDescent="0.25">
      <c r="B55" s="228" t="s">
        <v>226</v>
      </c>
      <c r="K55" s="20" t="s">
        <v>59</v>
      </c>
    </row>
    <row r="56" spans="2:14" x14ac:dyDescent="0.25">
      <c r="K56" s="20" t="s">
        <v>60</v>
      </c>
    </row>
    <row r="57" spans="2:14" x14ac:dyDescent="0.25">
      <c r="B57" s="228" t="s">
        <v>227</v>
      </c>
      <c r="K57" s="20" t="s">
        <v>61</v>
      </c>
    </row>
    <row r="58" spans="2:14" ht="15.75" x14ac:dyDescent="0.25">
      <c r="B58" s="228" t="s">
        <v>228</v>
      </c>
      <c r="K58" s="21" t="s">
        <v>63</v>
      </c>
    </row>
    <row r="59" spans="2:14" ht="15.75" x14ac:dyDescent="0.25">
      <c r="B59" s="229" t="s">
        <v>229</v>
      </c>
      <c r="K59" s="21" t="s">
        <v>88</v>
      </c>
    </row>
    <row r="60" spans="2:14" ht="15.75" x14ac:dyDescent="0.25">
      <c r="B60" s="229" t="s">
        <v>230</v>
      </c>
      <c r="K60" s="21" t="s">
        <v>64</v>
      </c>
    </row>
    <row r="61" spans="2:14" x14ac:dyDescent="0.25">
      <c r="B61" s="229" t="s">
        <v>231</v>
      </c>
      <c r="K61" s="85" t="s">
        <v>126</v>
      </c>
    </row>
    <row r="62" spans="2:14" x14ac:dyDescent="0.25">
      <c r="B62" s="229" t="s">
        <v>232</v>
      </c>
    </row>
    <row r="64" spans="2:14" x14ac:dyDescent="0.25">
      <c r="B64" s="228" t="s">
        <v>233</v>
      </c>
      <c r="K64" s="101" t="s">
        <v>168</v>
      </c>
    </row>
    <row r="65" spans="2:11" x14ac:dyDescent="0.25">
      <c r="B65" s="228" t="s">
        <v>234</v>
      </c>
      <c r="K65" s="1" t="s">
        <v>135</v>
      </c>
    </row>
    <row r="66" spans="2:11" x14ac:dyDescent="0.25">
      <c r="K66" s="82" t="s">
        <v>136</v>
      </c>
    </row>
    <row r="67" spans="2:11" x14ac:dyDescent="0.25">
      <c r="B67" s="228" t="s">
        <v>235</v>
      </c>
      <c r="K67" s="89" t="s">
        <v>144</v>
      </c>
    </row>
    <row r="68" spans="2:11" x14ac:dyDescent="0.25">
      <c r="K68" s="89" t="s">
        <v>145</v>
      </c>
    </row>
    <row r="69" spans="2:11" x14ac:dyDescent="0.25">
      <c r="B69" s="228" t="s">
        <v>239</v>
      </c>
      <c r="K69" s="89" t="s">
        <v>146</v>
      </c>
    </row>
    <row r="70" spans="2:11" x14ac:dyDescent="0.25">
      <c r="K70" s="89" t="s">
        <v>160</v>
      </c>
    </row>
    <row r="71" spans="2:11" x14ac:dyDescent="0.25">
      <c r="B71" s="228" t="s">
        <v>240</v>
      </c>
      <c r="K71" s="89" t="s">
        <v>147</v>
      </c>
    </row>
    <row r="72" spans="2:11" x14ac:dyDescent="0.25">
      <c r="B72" s="229" t="s">
        <v>241</v>
      </c>
    </row>
    <row r="74" spans="2:11" x14ac:dyDescent="0.25">
      <c r="B74" s="228" t="s">
        <v>242</v>
      </c>
    </row>
    <row r="76" spans="2:11" x14ac:dyDescent="0.25">
      <c r="B76" s="228" t="s">
        <v>244</v>
      </c>
    </row>
    <row r="77" spans="2:11" x14ac:dyDescent="0.25">
      <c r="B77" s="229" t="s">
        <v>243</v>
      </c>
    </row>
    <row r="79" spans="2:11" x14ac:dyDescent="0.25">
      <c r="B79" s="228" t="s">
        <v>245</v>
      </c>
    </row>
    <row r="80" spans="2:11" x14ac:dyDescent="0.25">
      <c r="B80" s="229" t="s">
        <v>246</v>
      </c>
    </row>
    <row r="82" spans="2:2" x14ac:dyDescent="0.25">
      <c r="B82" s="228" t="s">
        <v>247</v>
      </c>
    </row>
    <row r="83" spans="2:2" x14ac:dyDescent="0.25">
      <c r="B83" s="229" t="s">
        <v>248</v>
      </c>
    </row>
    <row r="84" spans="2:2" x14ac:dyDescent="0.25">
      <c r="B84" s="229" t="s">
        <v>249</v>
      </c>
    </row>
    <row r="85" spans="2:2" x14ac:dyDescent="0.25">
      <c r="B85" s="229" t="s">
        <v>250</v>
      </c>
    </row>
    <row r="86" spans="2:2" x14ac:dyDescent="0.25">
      <c r="B86" s="238" t="s">
        <v>251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29" type="noConversion"/>
  <hyperlinks>
    <hyperlink ref="K58" r:id="rId1" xr:uid="{F79BC045-05D5-43FB-A051-BA2031CC85A7}"/>
    <hyperlink ref="K60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0"/>
  <sheetViews>
    <sheetView zoomScaleNormal="100" workbookViewId="0">
      <pane xSplit="2" ySplit="2" topLeftCell="H3" activePane="bottomRight" state="frozen"/>
      <selection pane="topRight" activeCell="C1" sqref="C1"/>
      <selection pane="bottomLeft" activeCell="A2" sqref="A2"/>
      <selection pane="bottomRight" activeCell="N117" sqref="N117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.625" style="281" bestFit="1" customWidth="1"/>
    <col min="15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293"/>
    <col min="25" max="25" width="9" style="122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43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71" t="s">
        <v>13</v>
      </c>
      <c r="M1" s="209" t="s">
        <v>14</v>
      </c>
      <c r="N1" s="303" t="s">
        <v>15</v>
      </c>
      <c r="O1" s="2" t="s">
        <v>108</v>
      </c>
      <c r="P1" s="2"/>
      <c r="Q1" s="67" t="s">
        <v>8</v>
      </c>
      <c r="R1" s="172" t="s">
        <v>13</v>
      </c>
      <c r="S1" s="67" t="s">
        <v>14</v>
      </c>
      <c r="T1" s="111" t="s">
        <v>15</v>
      </c>
      <c r="V1" s="2" t="s">
        <v>89</v>
      </c>
      <c r="W1" s="2" t="s">
        <v>90</v>
      </c>
      <c r="X1" s="273" t="s">
        <v>91</v>
      </c>
      <c r="Y1" s="111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43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274">
        <v>44926</v>
      </c>
      <c r="Q2" s="68" t="s">
        <v>119</v>
      </c>
      <c r="R2" s="173" t="s">
        <v>119</v>
      </c>
      <c r="S2" s="68" t="s">
        <v>119</v>
      </c>
      <c r="T2" s="112" t="s">
        <v>119</v>
      </c>
      <c r="V2" s="33">
        <v>44196</v>
      </c>
      <c r="W2" s="33">
        <v>44561</v>
      </c>
      <c r="X2" s="288" t="s">
        <v>119</v>
      </c>
      <c r="Y2" s="112" t="s">
        <v>119</v>
      </c>
      <c r="Z2" s="50" t="s">
        <v>119</v>
      </c>
      <c r="AA2" s="50" t="s">
        <v>119</v>
      </c>
      <c r="AB2" s="50" t="s">
        <v>119</v>
      </c>
      <c r="AC2" s="50" t="s">
        <v>119</v>
      </c>
      <c r="AD2" s="50" t="s">
        <v>119</v>
      </c>
      <c r="AE2" s="50" t="s">
        <v>119</v>
      </c>
      <c r="AF2" s="50" t="s">
        <v>119</v>
      </c>
      <c r="AG2" s="50" t="s">
        <v>119</v>
      </c>
      <c r="AH2" s="50" t="s">
        <v>119</v>
      </c>
      <c r="AI2" s="50" t="s">
        <v>119</v>
      </c>
      <c r="AJ2" s="50" t="s">
        <v>119</v>
      </c>
      <c r="AK2" s="50" t="s">
        <v>119</v>
      </c>
      <c r="AL2" s="50" t="s">
        <v>119</v>
      </c>
      <c r="AM2" s="50" t="s">
        <v>119</v>
      </c>
    </row>
    <row r="3" spans="2:43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275">
        <v>579.00400000000002</v>
      </c>
      <c r="O3" s="13"/>
      <c r="Q3" s="69">
        <f>G3*1.67</f>
        <v>646.24991999999997</v>
      </c>
      <c r="R3" s="174">
        <f>H3*1.23</f>
        <v>558.54300000000001</v>
      </c>
      <c r="S3" s="69">
        <f>I3*1.25</f>
        <v>636.67000000000007</v>
      </c>
      <c r="T3" s="113">
        <v>621.24839999999995</v>
      </c>
      <c r="V3" s="3">
        <f>SUM(C3:F3)</f>
        <v>923.88499999999999</v>
      </c>
      <c r="W3" s="3">
        <f>SUM(G3:J3)</f>
        <v>1919.181</v>
      </c>
      <c r="X3" s="289">
        <f>SUM(K3:N3)</f>
        <v>2225.0519999999997</v>
      </c>
      <c r="Y3" s="119">
        <f>X3*1.15</f>
        <v>2558.8097999999995</v>
      </c>
      <c r="Z3" s="3">
        <f t="shared" ref="Z3:AK3" si="0">Y3*1.15</f>
        <v>2942.6312699999994</v>
      </c>
      <c r="AA3" s="3">
        <f t="shared" si="0"/>
        <v>3384.0259604999992</v>
      </c>
      <c r="AB3" s="3">
        <f t="shared" si="0"/>
        <v>3891.6298545749987</v>
      </c>
      <c r="AC3" s="3">
        <f t="shared" si="0"/>
        <v>4475.3743327612483</v>
      </c>
      <c r="AD3" s="3">
        <f t="shared" si="0"/>
        <v>5146.6804826754351</v>
      </c>
      <c r="AE3" s="3">
        <f t="shared" si="0"/>
        <v>5918.6825550767498</v>
      </c>
      <c r="AF3" s="3">
        <f t="shared" si="0"/>
        <v>6806.4849383382616</v>
      </c>
      <c r="AG3" s="3">
        <f t="shared" si="0"/>
        <v>7827.4576790890005</v>
      </c>
      <c r="AH3" s="3">
        <f t="shared" si="0"/>
        <v>9001.57633095235</v>
      </c>
      <c r="AI3" s="3">
        <f t="shared" si="0"/>
        <v>10351.812780595201</v>
      </c>
      <c r="AJ3" s="3">
        <f t="shared" si="0"/>
        <v>11904.58469768448</v>
      </c>
      <c r="AK3" s="3">
        <f t="shared" si="0"/>
        <v>13690.272402337152</v>
      </c>
      <c r="AL3" s="3">
        <f t="shared" ref="AL3:AM3" si="1">AK3*1.15</f>
        <v>15743.813262687723</v>
      </c>
      <c r="AM3" s="3">
        <f t="shared" si="1"/>
        <v>18105.38525209088</v>
      </c>
    </row>
    <row r="4" spans="2:43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276">
        <v>142.43199999999999</v>
      </c>
      <c r="O4" s="5"/>
      <c r="Q4" s="70">
        <f>Q3-Q5</f>
        <v>174.48747839999999</v>
      </c>
      <c r="R4" s="175">
        <f>R3-R5</f>
        <v>145.22118</v>
      </c>
      <c r="S4" s="70">
        <f>S3-S5</f>
        <v>165.5342</v>
      </c>
      <c r="T4" s="114">
        <v>107.47144999999999</v>
      </c>
      <c r="V4" s="36">
        <f>SUM(C4:F4)</f>
        <v>239.89799999999997</v>
      </c>
      <c r="W4" s="36">
        <f>SUM(G4:J4)</f>
        <v>496.87</v>
      </c>
      <c r="X4" s="290">
        <f>SUM(K4:N4)</f>
        <v>547.65800000000002</v>
      </c>
      <c r="Y4" s="120">
        <f>Y3-Y5</f>
        <v>690.87864599999989</v>
      </c>
      <c r="Z4" s="9">
        <f t="shared" ref="Z4:AK4" si="2">Z3-Z5</f>
        <v>794.51044289999982</v>
      </c>
      <c r="AA4" s="9">
        <f t="shared" si="2"/>
        <v>913.68700933499986</v>
      </c>
      <c r="AB4" s="9">
        <f t="shared" si="2"/>
        <v>1050.7400607352497</v>
      </c>
      <c r="AC4" s="9">
        <f t="shared" si="2"/>
        <v>1208.351069845537</v>
      </c>
      <c r="AD4" s="9">
        <f t="shared" si="2"/>
        <v>1389.6037303223675</v>
      </c>
      <c r="AE4" s="9">
        <f t="shared" si="2"/>
        <v>1598.0442898707224</v>
      </c>
      <c r="AF4" s="9">
        <f t="shared" si="2"/>
        <v>1837.7509333513308</v>
      </c>
      <c r="AG4" s="9">
        <f t="shared" si="2"/>
        <v>2113.4135733540306</v>
      </c>
      <c r="AH4" s="9">
        <f t="shared" si="2"/>
        <v>2430.4256093571348</v>
      </c>
      <c r="AI4" s="9">
        <f t="shared" si="2"/>
        <v>2794.9894507607041</v>
      </c>
      <c r="AJ4" s="9">
        <f t="shared" si="2"/>
        <v>3214.2378683748102</v>
      </c>
      <c r="AK4" s="9">
        <f t="shared" si="2"/>
        <v>3696.3735486310306</v>
      </c>
      <c r="AL4" s="9">
        <f t="shared" ref="AL4" si="3">AL3-AL5</f>
        <v>4250.8295809256851</v>
      </c>
      <c r="AM4" s="9">
        <f t="shared" ref="AM4" si="4">AM3-AM5</f>
        <v>4888.4540180645381</v>
      </c>
    </row>
    <row r="5" spans="2:43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N5" si="6">K3-K4</f>
        <v>401.50200000000001</v>
      </c>
      <c r="L5" s="4">
        <f t="shared" si="6"/>
        <v>448.04999999999995</v>
      </c>
      <c r="M5" s="4">
        <f t="shared" si="6"/>
        <v>391.27</v>
      </c>
      <c r="N5" s="275">
        <f t="shared" si="6"/>
        <v>436.572</v>
      </c>
      <c r="O5" s="55"/>
      <c r="P5" s="1"/>
      <c r="Q5" s="71">
        <f>Q3*0.73</f>
        <v>471.76244159999999</v>
      </c>
      <c r="R5" s="176">
        <f>R3*0.74</f>
        <v>413.32182</v>
      </c>
      <c r="S5" s="71">
        <f>S3*0.74</f>
        <v>471.13580000000007</v>
      </c>
      <c r="T5" s="232">
        <v>472.14878399999998</v>
      </c>
      <c r="U5" s="1"/>
      <c r="V5" s="3">
        <f>V3-V4</f>
        <v>683.98700000000008</v>
      </c>
      <c r="W5" s="3">
        <f>W3-W4</f>
        <v>1422.3110000000001</v>
      </c>
      <c r="X5" s="289">
        <f>X3-X4</f>
        <v>1677.3939999999998</v>
      </c>
      <c r="Y5" s="119">
        <f>Y3*0.73</f>
        <v>1867.9311539999997</v>
      </c>
      <c r="Z5" s="3">
        <f t="shared" ref="Z5:AK5" si="7">Z3*0.73</f>
        <v>2148.1208270999996</v>
      </c>
      <c r="AA5" s="3">
        <f t="shared" si="7"/>
        <v>2470.3389511649993</v>
      </c>
      <c r="AB5" s="3">
        <f t="shared" si="7"/>
        <v>2840.889793839749</v>
      </c>
      <c r="AC5" s="3">
        <f t="shared" si="7"/>
        <v>3267.0232629157113</v>
      </c>
      <c r="AD5" s="3">
        <f t="shared" si="7"/>
        <v>3757.0767523530676</v>
      </c>
      <c r="AE5" s="3">
        <f t="shared" si="7"/>
        <v>4320.6382652060274</v>
      </c>
      <c r="AF5" s="3">
        <f t="shared" si="7"/>
        <v>4968.7340049869308</v>
      </c>
      <c r="AG5" s="3">
        <f t="shared" si="7"/>
        <v>5714.0441057349699</v>
      </c>
      <c r="AH5" s="3">
        <f t="shared" si="7"/>
        <v>6571.1507215952151</v>
      </c>
      <c r="AI5" s="3">
        <f t="shared" si="7"/>
        <v>7556.8233298344967</v>
      </c>
      <c r="AJ5" s="3">
        <f t="shared" si="7"/>
        <v>8690.3468293096703</v>
      </c>
      <c r="AK5" s="3">
        <f t="shared" si="7"/>
        <v>9993.8988537061214</v>
      </c>
      <c r="AL5" s="3">
        <f t="shared" ref="AL5:AM5" si="8">AL3*0.73</f>
        <v>11492.983681762038</v>
      </c>
      <c r="AM5" s="3">
        <f t="shared" si="8"/>
        <v>13216.931234026342</v>
      </c>
    </row>
    <row r="6" spans="2:43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77">
        <v>182.11500000000001</v>
      </c>
      <c r="O6" s="46"/>
      <c r="P6" s="23"/>
      <c r="Q6" s="72">
        <f>G6*1.025</f>
        <v>121.91144999999999</v>
      </c>
      <c r="R6" s="177">
        <f>H6*1.23</f>
        <v>159.54821999999999</v>
      </c>
      <c r="S6" s="72">
        <f>I6*1.15</f>
        <v>149.44479999999999</v>
      </c>
      <c r="T6" s="233">
        <v>183.67455000000001</v>
      </c>
      <c r="V6" s="36">
        <f>SUM(C6:F6)</f>
        <v>328.74</v>
      </c>
      <c r="W6" s="36">
        <f>SUM(G6:J6)</f>
        <v>538.32100000000003</v>
      </c>
      <c r="X6" s="291">
        <f>SUM(K6:N6)</f>
        <v>623.85500000000002</v>
      </c>
      <c r="Y6" s="298">
        <f>X6*1.015</f>
        <v>633.21282499999995</v>
      </c>
      <c r="Z6" s="48">
        <f t="shared" ref="Z6:AK6" si="9">Y6*1.015</f>
        <v>642.71101737499987</v>
      </c>
      <c r="AA6" s="48">
        <f t="shared" si="9"/>
        <v>652.3516826356248</v>
      </c>
      <c r="AB6" s="48">
        <f t="shared" si="9"/>
        <v>662.13695787515906</v>
      </c>
      <c r="AC6" s="48">
        <f t="shared" si="9"/>
        <v>672.06901224328635</v>
      </c>
      <c r="AD6" s="48">
        <f t="shared" si="9"/>
        <v>682.15004742693554</v>
      </c>
      <c r="AE6" s="48">
        <f t="shared" si="9"/>
        <v>692.38229813833948</v>
      </c>
      <c r="AF6" s="48">
        <f t="shared" si="9"/>
        <v>702.76803261041448</v>
      </c>
      <c r="AG6" s="48">
        <f t="shared" si="9"/>
        <v>713.30955309957062</v>
      </c>
      <c r="AH6" s="48">
        <f t="shared" si="9"/>
        <v>724.00919639606411</v>
      </c>
      <c r="AI6" s="48">
        <f t="shared" si="9"/>
        <v>734.869334342005</v>
      </c>
      <c r="AJ6" s="48">
        <f t="shared" si="9"/>
        <v>745.89237435713505</v>
      </c>
      <c r="AK6" s="48">
        <f t="shared" si="9"/>
        <v>757.08075997249205</v>
      </c>
      <c r="AL6" s="48">
        <f t="shared" ref="AL6:AM6" si="10">AK6*1.015</f>
        <v>768.43697137207937</v>
      </c>
      <c r="AM6" s="48">
        <f t="shared" si="10"/>
        <v>779.96352594266045</v>
      </c>
    </row>
    <row r="7" spans="2:43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77">
        <v>198.505</v>
      </c>
      <c r="O7" s="46"/>
      <c r="P7" s="23"/>
      <c r="Q7" s="72">
        <f>J7*1.11</f>
        <v>150.94779000000003</v>
      </c>
      <c r="R7" s="177">
        <f>H7*1.5</f>
        <v>163.47900000000001</v>
      </c>
      <c r="S7" s="72">
        <f>I7*1.5</f>
        <v>176.0805</v>
      </c>
      <c r="T7" s="233">
        <v>203.98349999999999</v>
      </c>
      <c r="V7" s="36">
        <f>SUM(C7:F7)</f>
        <v>264.226</v>
      </c>
      <c r="W7" s="36">
        <f>SUM(G7:J7)</f>
        <v>456.49800000000005</v>
      </c>
      <c r="X7" s="291">
        <f>SUM(K7:N7)</f>
        <v>689.08100000000002</v>
      </c>
      <c r="Y7" s="298">
        <f>X7*1.05</f>
        <v>723.53505000000007</v>
      </c>
      <c r="Z7" s="48">
        <f t="shared" ref="Z7:AK7" si="11">Y7*1.05</f>
        <v>759.71180250000009</v>
      </c>
      <c r="AA7" s="48">
        <f t="shared" si="11"/>
        <v>797.69739262500013</v>
      </c>
      <c r="AB7" s="48">
        <f t="shared" si="11"/>
        <v>837.58226225625015</v>
      </c>
      <c r="AC7" s="48">
        <f t="shared" si="11"/>
        <v>879.46137536906269</v>
      </c>
      <c r="AD7" s="48">
        <f t="shared" si="11"/>
        <v>923.43444413751581</v>
      </c>
      <c r="AE7" s="48">
        <f t="shared" si="11"/>
        <v>969.60616634439168</v>
      </c>
      <c r="AF7" s="48">
        <f t="shared" si="11"/>
        <v>1018.0864746616113</v>
      </c>
      <c r="AG7" s="48">
        <f t="shared" si="11"/>
        <v>1068.9907983946919</v>
      </c>
      <c r="AH7" s="48">
        <f t="shared" si="11"/>
        <v>1122.4403383144265</v>
      </c>
      <c r="AI7" s="48">
        <f t="shared" si="11"/>
        <v>1178.5623552301479</v>
      </c>
      <c r="AJ7" s="48">
        <f t="shared" si="11"/>
        <v>1237.4904729916552</v>
      </c>
      <c r="AK7" s="48">
        <f t="shared" si="11"/>
        <v>1299.3649966412381</v>
      </c>
      <c r="AL7" s="48">
        <f t="shared" ref="AL7:AM7" si="12">AK7*1.05</f>
        <v>1364.3332464733001</v>
      </c>
      <c r="AM7" s="48">
        <f t="shared" si="12"/>
        <v>1432.5499087969652</v>
      </c>
    </row>
    <row r="8" spans="2:43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78">
        <v>248.40700000000001</v>
      </c>
      <c r="O8" s="45"/>
      <c r="P8" s="64"/>
      <c r="Q8" s="73">
        <f>J8*1.1</f>
        <v>190.92700000000002</v>
      </c>
      <c r="R8" s="178">
        <f>K8*1.012</f>
        <v>179.89514400000002</v>
      </c>
      <c r="S8" s="73">
        <f>R8*1.012</f>
        <v>182.05388572800001</v>
      </c>
      <c r="T8" s="234">
        <v>254.39508000000001</v>
      </c>
      <c r="V8" s="36">
        <f>SUM(C8:F8)</f>
        <v>201.43299999999999</v>
      </c>
      <c r="W8" s="36">
        <f>SUM(G8:J8)</f>
        <v>533.20699999999999</v>
      </c>
      <c r="X8" s="291">
        <f>SUM(K8:N8)</f>
        <v>873.47699999999998</v>
      </c>
      <c r="Y8" s="298">
        <f>X8*1</f>
        <v>873.47699999999998</v>
      </c>
      <c r="Z8" s="48">
        <f t="shared" ref="Z8:AK8" si="13">Y8*1</f>
        <v>873.47699999999998</v>
      </c>
      <c r="AA8" s="48">
        <f t="shared" si="13"/>
        <v>873.47699999999998</v>
      </c>
      <c r="AB8" s="48">
        <f t="shared" si="13"/>
        <v>873.47699999999998</v>
      </c>
      <c r="AC8" s="48">
        <f t="shared" si="13"/>
        <v>873.47699999999998</v>
      </c>
      <c r="AD8" s="48">
        <f t="shared" si="13"/>
        <v>873.47699999999998</v>
      </c>
      <c r="AE8" s="48">
        <f t="shared" si="13"/>
        <v>873.47699999999998</v>
      </c>
      <c r="AF8" s="48">
        <f t="shared" si="13"/>
        <v>873.47699999999998</v>
      </c>
      <c r="AG8" s="48">
        <f t="shared" si="13"/>
        <v>873.47699999999998</v>
      </c>
      <c r="AH8" s="48">
        <f t="shared" si="13"/>
        <v>873.47699999999998</v>
      </c>
      <c r="AI8" s="48">
        <f t="shared" si="13"/>
        <v>873.47699999999998</v>
      </c>
      <c r="AJ8" s="48">
        <f t="shared" si="13"/>
        <v>873.47699999999998</v>
      </c>
      <c r="AK8" s="48">
        <f t="shared" si="13"/>
        <v>873.47699999999998</v>
      </c>
      <c r="AL8" s="48">
        <f t="shared" ref="AL8:AM8" si="14">AK8*1</f>
        <v>873.47699999999998</v>
      </c>
      <c r="AM8" s="48">
        <f t="shared" si="14"/>
        <v>873.47699999999998</v>
      </c>
    </row>
    <row r="9" spans="2:43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276">
        <v>79.703999999999994</v>
      </c>
      <c r="O9" s="5"/>
      <c r="P9" s="23"/>
      <c r="Q9" s="70">
        <f>G9*1.01</f>
        <v>95.318749999999994</v>
      </c>
      <c r="R9" s="175">
        <f>K9*1.01</f>
        <v>58.349719999999998</v>
      </c>
      <c r="S9" s="70">
        <f>R9*1.01</f>
        <v>58.933217200000001</v>
      </c>
      <c r="T9" s="114">
        <v>81.976650000000006</v>
      </c>
      <c r="V9" s="36">
        <f>SUM(C9:F9)</f>
        <v>97.340999999999994</v>
      </c>
      <c r="W9" s="36">
        <f>SUM(G9:J9)</f>
        <v>303.02</v>
      </c>
      <c r="X9" s="291">
        <f>SUM(K9:N9)</f>
        <v>297.31700000000001</v>
      </c>
      <c r="Y9" s="298">
        <f>X9*1</f>
        <v>297.31700000000001</v>
      </c>
      <c r="Z9" s="48">
        <f t="shared" ref="Z9:AK9" si="15">Y9*1</f>
        <v>297.31700000000001</v>
      </c>
      <c r="AA9" s="48">
        <f t="shared" si="15"/>
        <v>297.31700000000001</v>
      </c>
      <c r="AB9" s="48">
        <f t="shared" si="15"/>
        <v>297.31700000000001</v>
      </c>
      <c r="AC9" s="48">
        <f t="shared" si="15"/>
        <v>297.31700000000001</v>
      </c>
      <c r="AD9" s="48">
        <f t="shared" si="15"/>
        <v>297.31700000000001</v>
      </c>
      <c r="AE9" s="48">
        <f t="shared" si="15"/>
        <v>297.31700000000001</v>
      </c>
      <c r="AF9" s="48">
        <f t="shared" si="15"/>
        <v>297.31700000000001</v>
      </c>
      <c r="AG9" s="48">
        <f t="shared" si="15"/>
        <v>297.31700000000001</v>
      </c>
      <c r="AH9" s="48">
        <f t="shared" si="15"/>
        <v>297.31700000000001</v>
      </c>
      <c r="AI9" s="48">
        <f t="shared" si="15"/>
        <v>297.31700000000001</v>
      </c>
      <c r="AJ9" s="48">
        <f t="shared" si="15"/>
        <v>297.31700000000001</v>
      </c>
      <c r="AK9" s="48">
        <f t="shared" si="15"/>
        <v>297.31700000000001</v>
      </c>
      <c r="AL9" s="48">
        <f t="shared" ref="AL9:AM9" si="16">AK9*1</f>
        <v>297.31700000000001</v>
      </c>
      <c r="AM9" s="48">
        <f t="shared" si="16"/>
        <v>297.31700000000001</v>
      </c>
    </row>
    <row r="10" spans="2:43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78">
        <v>29.74</v>
      </c>
      <c r="O10" s="7"/>
      <c r="P10" s="23"/>
      <c r="Q10" s="74">
        <v>25</v>
      </c>
      <c r="R10" s="178">
        <f>K10*1.05</f>
        <v>30.557100000000002</v>
      </c>
      <c r="S10" s="73">
        <f>R10*1.05</f>
        <v>32.084955000000001</v>
      </c>
      <c r="T10" s="234">
        <v>33.710249999999995</v>
      </c>
      <c r="V10" s="36">
        <f>SUM(C10:F10)</f>
        <v>58.384</v>
      </c>
      <c r="W10" s="36">
        <f>SUM(G10:J10)</f>
        <v>86.363</v>
      </c>
      <c r="X10" s="291">
        <f>SUM(K10:N10)</f>
        <v>117.44799999999999</v>
      </c>
      <c r="Y10" s="298">
        <f>X10*0.95</f>
        <v>111.57559999999999</v>
      </c>
      <c r="Z10" s="48">
        <f t="shared" ref="Z10:AK10" si="17">Y10*0.95</f>
        <v>105.99681999999999</v>
      </c>
      <c r="AA10" s="48">
        <f t="shared" si="17"/>
        <v>100.69697899999998</v>
      </c>
      <c r="AB10" s="48">
        <f t="shared" si="17"/>
        <v>95.662130049999988</v>
      </c>
      <c r="AC10" s="48">
        <f t="shared" si="17"/>
        <v>90.879023547499983</v>
      </c>
      <c r="AD10" s="48">
        <f t="shared" si="17"/>
        <v>86.335072370124976</v>
      </c>
      <c r="AE10" s="48">
        <f t="shared" si="17"/>
        <v>82.018318751618722</v>
      </c>
      <c r="AF10" s="48">
        <f t="shared" si="17"/>
        <v>77.917402814037786</v>
      </c>
      <c r="AG10" s="48">
        <f t="shared" si="17"/>
        <v>74.021532673335898</v>
      </c>
      <c r="AH10" s="48">
        <f t="shared" si="17"/>
        <v>70.320456039669097</v>
      </c>
      <c r="AI10" s="48">
        <f t="shared" si="17"/>
        <v>66.804433237685643</v>
      </c>
      <c r="AJ10" s="48">
        <f t="shared" si="17"/>
        <v>63.464211575801357</v>
      </c>
      <c r="AK10" s="48">
        <f t="shared" si="17"/>
        <v>60.291000997011288</v>
      </c>
      <c r="AL10" s="48">
        <f t="shared" ref="AL10:AM10" si="18">AK10*0.95</f>
        <v>57.276450947160718</v>
      </c>
      <c r="AM10" s="48">
        <f t="shared" si="18"/>
        <v>54.412628399802678</v>
      </c>
    </row>
    <row r="11" spans="2:43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276">
        <f t="shared" si="21"/>
        <v>738.471</v>
      </c>
      <c r="O11" s="5"/>
      <c r="Q11" s="70">
        <f>Q10+Q9+Q8+Q7+Q6</f>
        <v>584.10499000000004</v>
      </c>
      <c r="R11" s="175">
        <f>R10+R9+R8+R7+R6</f>
        <v>591.82918400000005</v>
      </c>
      <c r="S11" s="70">
        <f>S10+S9+S8+S7+S6</f>
        <v>598.59735792800006</v>
      </c>
      <c r="T11" s="114">
        <v>757.74002999999993</v>
      </c>
      <c r="V11" s="9">
        <f>SUM(V6:V10)</f>
        <v>950.12400000000002</v>
      </c>
      <c r="W11" s="9">
        <f>SUM(W6:W10)</f>
        <v>1917.4090000000001</v>
      </c>
      <c r="X11" s="292">
        <f>SUM(X6:X10)</f>
        <v>2601.1779999999999</v>
      </c>
      <c r="Y11" s="120">
        <f t="shared" ref="Y11:AK11" si="23">SUM(Y6:Y10)</f>
        <v>2639.117475</v>
      </c>
      <c r="Z11" s="9">
        <f t="shared" si="23"/>
        <v>2679.2136398749999</v>
      </c>
      <c r="AA11" s="9">
        <f t="shared" si="23"/>
        <v>2721.5400542606249</v>
      </c>
      <c r="AB11" s="9">
        <f t="shared" si="23"/>
        <v>2766.1753501814092</v>
      </c>
      <c r="AC11" s="9">
        <f t="shared" si="23"/>
        <v>2813.2034111598487</v>
      </c>
      <c r="AD11" s="9">
        <f t="shared" si="23"/>
        <v>2862.7135639345765</v>
      </c>
      <c r="AE11" s="9">
        <f t="shared" si="23"/>
        <v>2914.8007832343496</v>
      </c>
      <c r="AF11" s="9">
        <f t="shared" si="23"/>
        <v>2969.5659100860635</v>
      </c>
      <c r="AG11" s="9">
        <f t="shared" si="23"/>
        <v>3027.1158841675983</v>
      </c>
      <c r="AH11" s="9">
        <f t="shared" si="23"/>
        <v>3087.5639907501595</v>
      </c>
      <c r="AI11" s="9">
        <f t="shared" si="23"/>
        <v>3151.0301228098388</v>
      </c>
      <c r="AJ11" s="9">
        <f t="shared" si="23"/>
        <v>3217.6410589245916</v>
      </c>
      <c r="AK11" s="9">
        <f t="shared" si="23"/>
        <v>3287.5307576107416</v>
      </c>
      <c r="AL11" s="9">
        <f t="shared" ref="AL11" si="24">SUM(AL6:AL10)</f>
        <v>3360.8406687925399</v>
      </c>
      <c r="AM11" s="9">
        <f t="shared" ref="AM11" si="25">SUM(AM6:AM10)</f>
        <v>3437.720063139428</v>
      </c>
    </row>
    <row r="12" spans="2:43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4">
        <f t="shared" ref="M12:N12" si="29">M5-M11</f>
        <v>-300.00700000000006</v>
      </c>
      <c r="N12" s="275">
        <f t="shared" si="29"/>
        <v>-301.899</v>
      </c>
      <c r="O12" s="4"/>
      <c r="Q12" s="69">
        <f>Q5-Q11</f>
        <v>-112.34254840000006</v>
      </c>
      <c r="R12" s="174">
        <f>R5-R11</f>
        <v>-178.50736400000005</v>
      </c>
      <c r="S12" s="69">
        <f>S5-S11</f>
        <v>-127.46155792799999</v>
      </c>
      <c r="T12" s="113">
        <v>-285.59124599999996</v>
      </c>
      <c r="V12" s="4">
        <f>V5-V11</f>
        <v>-266.13699999999994</v>
      </c>
      <c r="W12" s="4">
        <f>W5-W11</f>
        <v>-495.09799999999996</v>
      </c>
      <c r="X12" s="275">
        <f>X5-X11</f>
        <v>-923.78400000000011</v>
      </c>
      <c r="Y12" s="113">
        <f t="shared" ref="Y12:AK12" si="30">Y5-Y11</f>
        <v>-771.18632100000036</v>
      </c>
      <c r="Z12" s="4">
        <f t="shared" si="30"/>
        <v>-531.09281277500031</v>
      </c>
      <c r="AA12" s="4">
        <f t="shared" si="30"/>
        <v>-251.20110309562551</v>
      </c>
      <c r="AB12" s="4">
        <f t="shared" si="30"/>
        <v>74.71444365833986</v>
      </c>
      <c r="AC12" s="4">
        <f t="shared" si="30"/>
        <v>453.8198517558626</v>
      </c>
      <c r="AD12" s="4">
        <f t="shared" si="30"/>
        <v>894.36318841849106</v>
      </c>
      <c r="AE12" s="4">
        <f t="shared" si="30"/>
        <v>1405.8374819716778</v>
      </c>
      <c r="AF12" s="4">
        <f t="shared" si="30"/>
        <v>1999.1680949008673</v>
      </c>
      <c r="AG12" s="4">
        <f t="shared" si="30"/>
        <v>2686.9282215673716</v>
      </c>
      <c r="AH12" s="4">
        <f t="shared" si="30"/>
        <v>3483.5867308450556</v>
      </c>
      <c r="AI12" s="4">
        <f t="shared" si="30"/>
        <v>4405.7932070246579</v>
      </c>
      <c r="AJ12" s="4">
        <f t="shared" si="30"/>
        <v>5472.7057703850787</v>
      </c>
      <c r="AK12" s="4">
        <f t="shared" si="30"/>
        <v>6706.3680960953798</v>
      </c>
      <c r="AL12" s="4">
        <f t="shared" ref="AL12" si="31">AL5-AL11</f>
        <v>8132.1430129694982</v>
      </c>
      <c r="AM12" s="4">
        <f t="shared" ref="AM12" si="32">AM5-AM11</f>
        <v>9779.2111708869143</v>
      </c>
    </row>
    <row r="13" spans="2:43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276">
        <f>21.636-10.008</f>
        <v>11.628</v>
      </c>
      <c r="O13" s="5"/>
      <c r="Q13" s="70">
        <f t="shared" ref="Q13:S15" si="33">G13</f>
        <v>5.0000000000000001E-3</v>
      </c>
      <c r="R13" s="175">
        <f t="shared" si="33"/>
        <v>2.5999999999999999E-2</v>
      </c>
      <c r="S13" s="70">
        <f t="shared" si="33"/>
        <v>2.8000000000000001E-2</v>
      </c>
      <c r="T13" s="114">
        <v>3.3000000000000002E-2</v>
      </c>
      <c r="V13" s="36">
        <f>SUM(C13:F13)</f>
        <v>1.8220000000000003</v>
      </c>
      <c r="W13" s="36">
        <f>SUM(G13:J13)</f>
        <v>9.1999999999999998E-2</v>
      </c>
      <c r="X13" s="291">
        <f>SUM(K13:N13)</f>
        <v>18.942999999999998</v>
      </c>
      <c r="Y13" s="298">
        <f>X13*1.008</f>
        <v>19.094543999999999</v>
      </c>
      <c r="Z13" s="48">
        <f t="shared" ref="Z13:AK13" si="34">Y13*1.008</f>
        <v>19.247300352</v>
      </c>
      <c r="AA13" s="48">
        <f t="shared" si="34"/>
        <v>19.401278754816001</v>
      </c>
      <c r="AB13" s="48">
        <f t="shared" si="34"/>
        <v>19.556488984854528</v>
      </c>
      <c r="AC13" s="48">
        <f t="shared" si="34"/>
        <v>19.712940896733365</v>
      </c>
      <c r="AD13" s="48">
        <f t="shared" si="34"/>
        <v>19.870644423907233</v>
      </c>
      <c r="AE13" s="48">
        <f t="shared" si="34"/>
        <v>20.029609579298491</v>
      </c>
      <c r="AF13" s="48">
        <f t="shared" si="34"/>
        <v>20.18984645593288</v>
      </c>
      <c r="AG13" s="48">
        <f t="shared" si="34"/>
        <v>20.351365227580342</v>
      </c>
      <c r="AH13" s="48">
        <f t="shared" si="34"/>
        <v>20.514176149400985</v>
      </c>
      <c r="AI13" s="48">
        <f t="shared" si="34"/>
        <v>20.678289558596195</v>
      </c>
      <c r="AJ13" s="48">
        <f t="shared" si="34"/>
        <v>20.843715875064966</v>
      </c>
      <c r="AK13" s="48">
        <f t="shared" si="34"/>
        <v>21.010465602065487</v>
      </c>
      <c r="AL13" s="48">
        <f t="shared" ref="AL13:AM13" si="35">AK13*1.008</f>
        <v>21.17854932688201</v>
      </c>
      <c r="AM13" s="48">
        <f t="shared" si="35"/>
        <v>21.347977721497067</v>
      </c>
      <c r="AQ13" s="34"/>
    </row>
    <row r="14" spans="2:43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279">
        <v>1.988</v>
      </c>
      <c r="O14" s="47"/>
      <c r="Q14" s="75">
        <f t="shared" si="33"/>
        <v>0</v>
      </c>
      <c r="R14" s="179">
        <f t="shared" si="33"/>
        <v>0</v>
      </c>
      <c r="S14" s="75">
        <f t="shared" si="33"/>
        <v>0</v>
      </c>
      <c r="T14" s="115">
        <v>1.4E-2</v>
      </c>
      <c r="V14" s="47">
        <f>R14</f>
        <v>0</v>
      </c>
      <c r="W14" s="47">
        <f>SUM(G14:J14)</f>
        <v>1.4E-2</v>
      </c>
      <c r="X14" s="291">
        <f t="shared" ref="X14:X20" si="36">SUM(K14:N14)</f>
        <v>2.0019999999999998</v>
      </c>
      <c r="Y14" s="299">
        <f>X14</f>
        <v>2.0019999999999998</v>
      </c>
      <c r="Z14" s="49">
        <f t="shared" ref="Z14:AK14" si="37">Y14</f>
        <v>2.0019999999999998</v>
      </c>
      <c r="AA14" s="49">
        <f t="shared" si="37"/>
        <v>2.0019999999999998</v>
      </c>
      <c r="AB14" s="49">
        <f t="shared" si="37"/>
        <v>2.0019999999999998</v>
      </c>
      <c r="AC14" s="49">
        <f t="shared" si="37"/>
        <v>2.0019999999999998</v>
      </c>
      <c r="AD14" s="49">
        <f t="shared" si="37"/>
        <v>2.0019999999999998</v>
      </c>
      <c r="AE14" s="49">
        <f t="shared" si="37"/>
        <v>2.0019999999999998</v>
      </c>
      <c r="AF14" s="49">
        <f t="shared" si="37"/>
        <v>2.0019999999999998</v>
      </c>
      <c r="AG14" s="49">
        <f t="shared" si="37"/>
        <v>2.0019999999999998</v>
      </c>
      <c r="AH14" s="49">
        <f t="shared" si="37"/>
        <v>2.0019999999999998</v>
      </c>
      <c r="AI14" s="49">
        <f t="shared" si="37"/>
        <v>2.0019999999999998</v>
      </c>
      <c r="AJ14" s="49">
        <f t="shared" si="37"/>
        <v>2.0019999999999998</v>
      </c>
      <c r="AK14" s="49">
        <f t="shared" si="37"/>
        <v>2.0019999999999998</v>
      </c>
      <c r="AL14" s="49">
        <f t="shared" ref="AL14:AM14" si="38">AK14</f>
        <v>2.0019999999999998</v>
      </c>
      <c r="AM14" s="49">
        <f t="shared" si="38"/>
        <v>2.0019999999999998</v>
      </c>
    </row>
    <row r="15" spans="2:43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7">
        <v>3.0510000000000002</v>
      </c>
      <c r="M15" s="210">
        <f>4.302+10.005</f>
        <v>14.307</v>
      </c>
      <c r="N15" s="279">
        <v>0</v>
      </c>
      <c r="O15" s="47"/>
      <c r="Q15" s="75">
        <f t="shared" si="33"/>
        <v>1.05</v>
      </c>
      <c r="R15" s="179">
        <f t="shared" si="33"/>
        <v>0</v>
      </c>
      <c r="S15" s="75">
        <f t="shared" si="33"/>
        <v>0.77</v>
      </c>
      <c r="T15" s="115">
        <v>6.9980000000000002</v>
      </c>
      <c r="V15" s="36">
        <f>SUM(C15:F15)</f>
        <v>3.157</v>
      </c>
      <c r="W15" s="36">
        <f>SUM(G15:J15)</f>
        <v>8.8179999999999996</v>
      </c>
      <c r="X15" s="291">
        <f t="shared" si="36"/>
        <v>27.736000000000001</v>
      </c>
      <c r="Y15" s="120">
        <f>X15</f>
        <v>27.736000000000001</v>
      </c>
      <c r="Z15" s="9">
        <f t="shared" ref="Z15:AK15" si="39">Y15</f>
        <v>27.736000000000001</v>
      </c>
      <c r="AA15" s="9">
        <f t="shared" si="39"/>
        <v>27.736000000000001</v>
      </c>
      <c r="AB15" s="9">
        <f t="shared" si="39"/>
        <v>27.736000000000001</v>
      </c>
      <c r="AC15" s="9">
        <f t="shared" si="39"/>
        <v>27.736000000000001</v>
      </c>
      <c r="AD15" s="9">
        <f t="shared" si="39"/>
        <v>27.736000000000001</v>
      </c>
      <c r="AE15" s="9">
        <f t="shared" si="39"/>
        <v>27.736000000000001</v>
      </c>
      <c r="AF15" s="9">
        <f t="shared" si="39"/>
        <v>27.736000000000001</v>
      </c>
      <c r="AG15" s="9">
        <f t="shared" si="39"/>
        <v>27.736000000000001</v>
      </c>
      <c r="AH15" s="9">
        <f t="shared" si="39"/>
        <v>27.736000000000001</v>
      </c>
      <c r="AI15" s="9">
        <f t="shared" si="39"/>
        <v>27.736000000000001</v>
      </c>
      <c r="AJ15" s="9">
        <f t="shared" si="39"/>
        <v>27.736000000000001</v>
      </c>
      <c r="AK15" s="9">
        <f t="shared" si="39"/>
        <v>27.736000000000001</v>
      </c>
      <c r="AL15" s="9">
        <f t="shared" ref="AL15:AM15" si="40">AK15</f>
        <v>27.736000000000001</v>
      </c>
      <c r="AM15" s="9">
        <f t="shared" si="40"/>
        <v>27.736000000000001</v>
      </c>
    </row>
    <row r="16" spans="2:43" ht="15" x14ac:dyDescent="0.25">
      <c r="B16" s="6" t="s">
        <v>26</v>
      </c>
      <c r="C16" s="5">
        <f t="shared" ref="C16:N16" si="41">C12+C13+C14-C15</f>
        <v>-74.876000000000005</v>
      </c>
      <c r="D16" s="5">
        <f t="shared" si="41"/>
        <v>-72.257999999999996</v>
      </c>
      <c r="E16" s="5">
        <f t="shared" si="41"/>
        <v>-49.995000000000005</v>
      </c>
      <c r="F16" s="5">
        <f t="shared" si="41"/>
        <v>-67.217999999999975</v>
      </c>
      <c r="G16" s="5">
        <f t="shared" si="41"/>
        <v>-136.10100000000006</v>
      </c>
      <c r="H16" s="5">
        <f t="shared" si="41"/>
        <v>-142.91999999999996</v>
      </c>
      <c r="I16" s="5">
        <f t="shared" si="41"/>
        <v>-78.18799999999996</v>
      </c>
      <c r="J16" s="5">
        <f t="shared" si="41"/>
        <v>-146.60100000000003</v>
      </c>
      <c r="K16" s="5">
        <f t="shared" ref="K16" si="42">K12+K13+K14-K15</f>
        <v>-161.73000000000002</v>
      </c>
      <c r="L16" s="5">
        <f t="shared" si="41"/>
        <v>-179.01200000000003</v>
      </c>
      <c r="M16" s="5">
        <f t="shared" si="41"/>
        <v>-301.55000000000007</v>
      </c>
      <c r="N16" s="276">
        <f t="shared" si="41"/>
        <v>-288.28300000000002</v>
      </c>
      <c r="O16" s="5"/>
      <c r="Q16" s="70">
        <f>Q12+Q13+Q14-Q15</f>
        <v>-113.38754840000006</v>
      </c>
      <c r="R16" s="175">
        <f>R12+R13+R14-R15</f>
        <v>-178.48136400000004</v>
      </c>
      <c r="S16" s="70">
        <f>S12+S13+S14-S15</f>
        <v>-128.20355792799998</v>
      </c>
      <c r="T16" s="114">
        <v>-292.54224599999992</v>
      </c>
      <c r="V16" s="5">
        <f>V12+V13+V14-V15</f>
        <v>-267.47199999999992</v>
      </c>
      <c r="W16" s="5">
        <f>W12+W13+W14-W15</f>
        <v>-503.80999999999995</v>
      </c>
      <c r="X16" s="291">
        <f t="shared" si="36"/>
        <v>-930.57500000000016</v>
      </c>
      <c r="Y16" s="114">
        <f>Y12+Y13+Y14-Y15</f>
        <v>-777.82577700000036</v>
      </c>
      <c r="Z16" s="5">
        <f t="shared" ref="Z16:AK16" si="43">Z12+Z13+Z14-Z15</f>
        <v>-537.57951242300032</v>
      </c>
      <c r="AA16" s="5">
        <f t="shared" si="43"/>
        <v>-257.53382434080953</v>
      </c>
      <c r="AB16" s="5">
        <f t="shared" si="43"/>
        <v>68.536932643194376</v>
      </c>
      <c r="AC16" s="5">
        <f t="shared" si="43"/>
        <v>447.79879265259598</v>
      </c>
      <c r="AD16" s="5">
        <f t="shared" si="43"/>
        <v>888.49983284239829</v>
      </c>
      <c r="AE16" s="5">
        <f t="shared" si="43"/>
        <v>1400.1330915509761</v>
      </c>
      <c r="AF16" s="5">
        <f t="shared" si="43"/>
        <v>1993.6239413568001</v>
      </c>
      <c r="AG16" s="5">
        <f t="shared" si="43"/>
        <v>2681.5455867949518</v>
      </c>
      <c r="AH16" s="5">
        <f t="shared" si="43"/>
        <v>3478.3669069944567</v>
      </c>
      <c r="AI16" s="5">
        <f t="shared" si="43"/>
        <v>4400.7374965832551</v>
      </c>
      <c r="AJ16" s="5">
        <f t="shared" si="43"/>
        <v>5467.8154862601441</v>
      </c>
      <c r="AK16" s="5">
        <f t="shared" si="43"/>
        <v>6701.6445616974461</v>
      </c>
      <c r="AL16" s="5">
        <f t="shared" ref="AL16" si="44">AL12+AL13+AL14-AL15</f>
        <v>8127.5875622963804</v>
      </c>
      <c r="AM16" s="5">
        <f t="shared" ref="AM16" si="45">AM12+AM13+AM14-AM15</f>
        <v>9774.8251486084118</v>
      </c>
    </row>
    <row r="17" spans="2:78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276">
        <v>3.202</v>
      </c>
      <c r="O17" s="5"/>
      <c r="Q17" s="70">
        <f>J17*1.005</f>
        <v>0.65927999999999998</v>
      </c>
      <c r="R17" s="175">
        <f>K17*1.005</f>
        <v>0.27738000000000002</v>
      </c>
      <c r="S17" s="70">
        <f>R17*1.005</f>
        <v>0.27876689999999998</v>
      </c>
      <c r="T17" s="114">
        <v>0.35375999999999996</v>
      </c>
      <c r="V17" s="36">
        <f>SUM(C17:F17)</f>
        <v>-6.6559999999999997</v>
      </c>
      <c r="W17" s="36">
        <f>SUM(G17:J17)</f>
        <v>-0.31999999999999995</v>
      </c>
      <c r="X17" s="291">
        <f t="shared" si="36"/>
        <v>4.1079999999999997</v>
      </c>
      <c r="Y17" s="120">
        <f>X17</f>
        <v>4.1079999999999997</v>
      </c>
      <c r="Z17" s="9">
        <f t="shared" ref="Z17:AK17" si="46">Y17</f>
        <v>4.1079999999999997</v>
      </c>
      <c r="AA17" s="9">
        <f t="shared" si="46"/>
        <v>4.1079999999999997</v>
      </c>
      <c r="AB17" s="9">
        <f t="shared" si="46"/>
        <v>4.1079999999999997</v>
      </c>
      <c r="AC17" s="9">
        <f t="shared" si="46"/>
        <v>4.1079999999999997</v>
      </c>
      <c r="AD17" s="9">
        <f t="shared" si="46"/>
        <v>4.1079999999999997</v>
      </c>
      <c r="AE17" s="9">
        <f t="shared" si="46"/>
        <v>4.1079999999999997</v>
      </c>
      <c r="AF17" s="9">
        <f t="shared" si="46"/>
        <v>4.1079999999999997</v>
      </c>
      <c r="AG17" s="9">
        <f t="shared" si="46"/>
        <v>4.1079999999999997</v>
      </c>
      <c r="AH17" s="9">
        <f t="shared" si="46"/>
        <v>4.1079999999999997</v>
      </c>
      <c r="AI17" s="9">
        <f t="shared" si="46"/>
        <v>4.1079999999999997</v>
      </c>
      <c r="AJ17" s="9">
        <f t="shared" si="46"/>
        <v>4.1079999999999997</v>
      </c>
      <c r="AK17" s="9">
        <f t="shared" si="46"/>
        <v>4.1079999999999997</v>
      </c>
      <c r="AL17" s="9">
        <f t="shared" ref="AL17:AM17" si="47">AK17</f>
        <v>4.1079999999999997</v>
      </c>
      <c r="AM17" s="9">
        <f t="shared" si="47"/>
        <v>4.1079999999999997</v>
      </c>
    </row>
    <row r="18" spans="2:78" ht="15" x14ac:dyDescent="0.25">
      <c r="B18" s="1" t="s">
        <v>27</v>
      </c>
      <c r="C18" s="4">
        <f t="shared" ref="C18:N18" si="48">+C16-C17</f>
        <v>-74.87700000000001</v>
      </c>
      <c r="D18" s="4">
        <f t="shared" si="48"/>
        <v>-72.262999999999991</v>
      </c>
      <c r="E18" s="4">
        <f t="shared" si="48"/>
        <v>-50.014000000000003</v>
      </c>
      <c r="F18" s="4">
        <f t="shared" si="48"/>
        <v>-60.536999999999978</v>
      </c>
      <c r="G18" s="4">
        <f t="shared" si="48"/>
        <v>-136.10300000000007</v>
      </c>
      <c r="H18" s="4">
        <f t="shared" si="48"/>
        <v>-142.93999999999997</v>
      </c>
      <c r="I18" s="4">
        <f t="shared" si="48"/>
        <v>-77.189999999999955</v>
      </c>
      <c r="J18" s="4">
        <f t="shared" si="48"/>
        <v>-147.25700000000003</v>
      </c>
      <c r="K18" s="4">
        <f t="shared" ref="K18:N18" si="49">+K16-K17</f>
        <v>-162.00600000000003</v>
      </c>
      <c r="L18" s="4">
        <f t="shared" si="49"/>
        <v>-179.29000000000002</v>
      </c>
      <c r="M18" s="4">
        <f t="shared" si="49"/>
        <v>-301.90200000000004</v>
      </c>
      <c r="N18" s="275">
        <f t="shared" si="49"/>
        <v>-291.48500000000001</v>
      </c>
      <c r="O18" s="4"/>
      <c r="Q18" s="69">
        <f>+Q16-Q17</f>
        <v>-114.04682840000005</v>
      </c>
      <c r="R18" s="174">
        <f>+R16-R17</f>
        <v>-178.75874400000004</v>
      </c>
      <c r="S18" s="69">
        <f>+S16-S17</f>
        <v>-128.48232482799997</v>
      </c>
      <c r="T18" s="113">
        <v>-292.89600599999994</v>
      </c>
      <c r="V18" s="3">
        <f>V16-V17</f>
        <v>-260.81599999999992</v>
      </c>
      <c r="W18" s="3">
        <f>W16-W17</f>
        <v>-503.48999999999995</v>
      </c>
      <c r="X18" s="291">
        <f t="shared" si="36"/>
        <v>-934.68300000000011</v>
      </c>
      <c r="Y18" s="119">
        <f>Y16-Y17</f>
        <v>-781.9337770000003</v>
      </c>
      <c r="Z18" s="3">
        <f t="shared" ref="Z18:AK18" si="50">Z16-Z17</f>
        <v>-541.68751242300027</v>
      </c>
      <c r="AA18" s="3">
        <f t="shared" si="50"/>
        <v>-261.64182434080953</v>
      </c>
      <c r="AB18" s="251">
        <f t="shared" si="50"/>
        <v>64.428932643194372</v>
      </c>
      <c r="AC18" s="3">
        <f t="shared" si="50"/>
        <v>443.69079265259597</v>
      </c>
      <c r="AD18" s="3">
        <f t="shared" si="50"/>
        <v>884.39183284239834</v>
      </c>
      <c r="AE18" s="3">
        <f t="shared" si="50"/>
        <v>1396.0250915509762</v>
      </c>
      <c r="AF18" s="3">
        <f t="shared" si="50"/>
        <v>1989.5159413568001</v>
      </c>
      <c r="AG18" s="3">
        <f t="shared" si="50"/>
        <v>2677.4375867949516</v>
      </c>
      <c r="AH18" s="3">
        <f t="shared" si="50"/>
        <v>3474.2589069944565</v>
      </c>
      <c r="AI18" s="3">
        <f t="shared" si="50"/>
        <v>4396.6294965832549</v>
      </c>
      <c r="AJ18" s="3">
        <f t="shared" si="50"/>
        <v>5463.7074862601439</v>
      </c>
      <c r="AK18" s="3">
        <f t="shared" si="50"/>
        <v>6697.5365616974459</v>
      </c>
      <c r="AL18" s="3">
        <f t="shared" ref="AL18" si="51">AL16-AL17</f>
        <v>8123.4795622963802</v>
      </c>
      <c r="AM18" s="3">
        <f t="shared" ref="AM18" si="52">AM16-AM17</f>
        <v>9770.7171486084117</v>
      </c>
      <c r="AN18" s="3">
        <f>AM18*(1+$AP$21)</f>
        <v>9673.0099771223267</v>
      </c>
      <c r="AO18" s="3">
        <f t="shared" ref="AO18:BZ18" si="53">AN18*(1+$AP$21)</f>
        <v>9576.279877351104</v>
      </c>
      <c r="AP18" s="3">
        <f t="shared" si="53"/>
        <v>9480.5170785775936</v>
      </c>
      <c r="AQ18" s="3">
        <f t="shared" si="53"/>
        <v>9385.7119077918178</v>
      </c>
      <c r="AR18" s="3">
        <f t="shared" si="53"/>
        <v>9291.8547887138993</v>
      </c>
      <c r="AS18" s="3">
        <f t="shared" si="53"/>
        <v>9198.9362408267607</v>
      </c>
      <c r="AT18" s="3">
        <f t="shared" si="53"/>
        <v>9106.9468784184937</v>
      </c>
      <c r="AU18" s="3">
        <f t="shared" si="53"/>
        <v>9015.8774096343095</v>
      </c>
      <c r="AV18" s="3">
        <f t="shared" si="53"/>
        <v>8925.7186355379672</v>
      </c>
      <c r="AW18" s="3">
        <f t="shared" si="53"/>
        <v>8836.4614491825869</v>
      </c>
      <c r="AX18" s="3">
        <f t="shared" si="53"/>
        <v>8748.0968346907612</v>
      </c>
      <c r="AY18" s="3">
        <f t="shared" si="53"/>
        <v>8660.6158663438528</v>
      </c>
      <c r="AZ18" s="3">
        <f t="shared" si="53"/>
        <v>8574.0097076804141</v>
      </c>
      <c r="BA18" s="3">
        <f t="shared" si="53"/>
        <v>8488.2696106036092</v>
      </c>
      <c r="BB18" s="3">
        <f t="shared" si="53"/>
        <v>8403.3869144975724</v>
      </c>
      <c r="BC18" s="3">
        <f t="shared" si="53"/>
        <v>8319.3530453525964</v>
      </c>
      <c r="BD18" s="3">
        <f t="shared" si="53"/>
        <v>8236.1595148990709</v>
      </c>
      <c r="BE18" s="3">
        <f t="shared" si="53"/>
        <v>8153.7979197500799</v>
      </c>
      <c r="BF18" s="3">
        <f t="shared" si="53"/>
        <v>8072.2599405525789</v>
      </c>
      <c r="BG18" s="3">
        <f t="shared" si="53"/>
        <v>7991.5373411470528</v>
      </c>
      <c r="BH18" s="3">
        <f t="shared" si="53"/>
        <v>7911.6219677355821</v>
      </c>
      <c r="BI18" s="3">
        <f t="shared" si="53"/>
        <v>7832.5057480582263</v>
      </c>
      <c r="BJ18" s="3">
        <f t="shared" si="53"/>
        <v>7754.1806905776439</v>
      </c>
      <c r="BK18" s="3">
        <f t="shared" si="53"/>
        <v>7676.638883671867</v>
      </c>
      <c r="BL18" s="3">
        <f t="shared" si="53"/>
        <v>7599.8724948351482</v>
      </c>
      <c r="BM18" s="3">
        <f t="shared" si="53"/>
        <v>7523.8737698867963</v>
      </c>
      <c r="BN18" s="3">
        <f t="shared" si="53"/>
        <v>7448.6350321879281</v>
      </c>
      <c r="BO18" s="3">
        <f t="shared" si="53"/>
        <v>7374.1486818660487</v>
      </c>
      <c r="BP18" s="3">
        <f t="shared" si="53"/>
        <v>7300.4071950473881</v>
      </c>
      <c r="BQ18" s="3">
        <f t="shared" si="53"/>
        <v>7227.403123096914</v>
      </c>
      <c r="BR18" s="3">
        <f t="shared" si="53"/>
        <v>7155.1290918659452</v>
      </c>
      <c r="BS18" s="3">
        <f t="shared" si="53"/>
        <v>7083.5778009472861</v>
      </c>
      <c r="BT18" s="3">
        <f t="shared" si="53"/>
        <v>7012.7420229378131</v>
      </c>
      <c r="BU18" s="3">
        <f t="shared" si="53"/>
        <v>6942.6146027084351</v>
      </c>
      <c r="BV18" s="3">
        <f t="shared" si="53"/>
        <v>6873.1884566813505</v>
      </c>
      <c r="BW18" s="3">
        <f t="shared" si="53"/>
        <v>6804.4565721145373</v>
      </c>
      <c r="BX18" s="3">
        <f t="shared" si="53"/>
        <v>6736.4120063933915</v>
      </c>
      <c r="BY18" s="3">
        <f t="shared" si="53"/>
        <v>6669.0478863294575</v>
      </c>
      <c r="BZ18" s="3">
        <f t="shared" si="53"/>
        <v>6602.3574074661628</v>
      </c>
    </row>
    <row r="19" spans="2:78" ht="15" x14ac:dyDescent="0.25">
      <c r="B19" s="6" t="s">
        <v>31</v>
      </c>
      <c r="C19" s="8">
        <f t="shared" ref="C19:N19" si="54">C18/C20</f>
        <v>-0.44164277878047925</v>
      </c>
      <c r="D19" s="8">
        <f t="shared" si="54"/>
        <v>-0.4007131132996184</v>
      </c>
      <c r="E19" s="8">
        <f t="shared" si="54"/>
        <v>-0.27262420007195265</v>
      </c>
      <c r="F19" s="8">
        <f t="shared" si="54"/>
        <v>-0.31020912226042652</v>
      </c>
      <c r="G19" s="8">
        <f t="shared" si="54"/>
        <v>-0.46758899798676645</v>
      </c>
      <c r="H19" s="8">
        <f t="shared" si="54"/>
        <v>-0.25020129529144053</v>
      </c>
      <c r="I19" s="8">
        <f t="shared" si="54"/>
        <v>-0.13402623920879539</v>
      </c>
      <c r="J19" s="8">
        <f t="shared" ref="J19:K19" si="55">J18/J20</f>
        <v>-0.25322121626385352</v>
      </c>
      <c r="K19" s="8">
        <f t="shared" si="55"/>
        <v>-0.27527649820482197</v>
      </c>
      <c r="L19" s="8">
        <f t="shared" si="54"/>
        <v>-0.30187160733287538</v>
      </c>
      <c r="M19" s="8">
        <f t="shared" si="54"/>
        <v>-0.50503948783747843</v>
      </c>
      <c r="N19" s="280">
        <f t="shared" si="54"/>
        <v>-0.4843077863752141</v>
      </c>
      <c r="O19" s="8"/>
      <c r="Q19" s="76">
        <f>Q18/Q20</f>
        <v>-0.1961134384000964</v>
      </c>
      <c r="R19" s="180">
        <f>R18/R20</f>
        <v>-0.30739120431272415</v>
      </c>
      <c r="S19" s="76">
        <f>S18/S20</f>
        <v>-0.21632643153378855</v>
      </c>
      <c r="T19" s="116">
        <v>-0.48997372942174272</v>
      </c>
      <c r="V19" s="8">
        <f>V18/V20</f>
        <v>-1.4321087303581006</v>
      </c>
      <c r="W19" s="8">
        <f>W18/W20</f>
        <v>-0.99708838467978411</v>
      </c>
      <c r="X19" s="280">
        <f>X18/X20</f>
        <v>-1.5529933090640833</v>
      </c>
      <c r="Y19" s="121">
        <f>Y18/Y20</f>
        <v>-1.299197614391411</v>
      </c>
      <c r="Z19" s="34">
        <f t="shared" ref="Z19:AM19" si="56">Z18/Z20</f>
        <v>-0.90002394651072803</v>
      </c>
      <c r="AA19" s="34">
        <f t="shared" si="56"/>
        <v>-0.43472279112019513</v>
      </c>
      <c r="AB19" s="34">
        <f t="shared" si="56"/>
        <v>0.10704987819936956</v>
      </c>
      <c r="AC19" s="34">
        <f t="shared" si="56"/>
        <v>0.73720056134841538</v>
      </c>
      <c r="AD19" s="34">
        <f t="shared" si="56"/>
        <v>1.4694335929883882</v>
      </c>
      <c r="AE19" s="34">
        <f t="shared" si="56"/>
        <v>2.3195218341023001</v>
      </c>
      <c r="AF19" s="34">
        <f t="shared" si="56"/>
        <v>3.3056179958375633</v>
      </c>
      <c r="AG19" s="34">
        <f t="shared" si="56"/>
        <v>4.4486126929977807</v>
      </c>
      <c r="AH19" s="34">
        <f t="shared" si="56"/>
        <v>5.7725462392262248</v>
      </c>
      <c r="AI19" s="34">
        <f t="shared" si="56"/>
        <v>7.3050822478076336</v>
      </c>
      <c r="AJ19" s="34">
        <f t="shared" si="56"/>
        <v>9.0780523116878591</v>
      </c>
      <c r="AK19" s="34">
        <f t="shared" si="56"/>
        <v>11.128082427441386</v>
      </c>
      <c r="AL19" s="34">
        <f t="shared" si="56"/>
        <v>13.497313427723736</v>
      </c>
      <c r="AM19" s="34">
        <f t="shared" si="56"/>
        <v>16.234229526530982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276">
        <v>601.85900000000004</v>
      </c>
      <c r="O20" s="5"/>
      <c r="Q20" s="70">
        <v>581.53499999999997</v>
      </c>
      <c r="R20" s="175">
        <v>581.53499999999997</v>
      </c>
      <c r="S20" s="70">
        <f>L20</f>
        <v>593.928</v>
      </c>
      <c r="T20" s="114">
        <v>597.779</v>
      </c>
      <c r="V20" s="9">
        <f>AVERAGE(C20:F20)</f>
        <v>182.12025000000003</v>
      </c>
      <c r="W20" s="9">
        <f>AVERAGE(G20:J20)</f>
        <v>504.96024999999997</v>
      </c>
      <c r="X20" s="291">
        <f>N20</f>
        <v>601.85900000000004</v>
      </c>
      <c r="Y20" s="121">
        <f>X20</f>
        <v>601.85900000000004</v>
      </c>
      <c r="Z20" s="34">
        <f t="shared" ref="Z20:AK20" si="57">Y20</f>
        <v>601.85900000000004</v>
      </c>
      <c r="AA20" s="34">
        <f t="shared" si="57"/>
        <v>601.85900000000004</v>
      </c>
      <c r="AB20" s="34">
        <f t="shared" si="57"/>
        <v>601.85900000000004</v>
      </c>
      <c r="AC20" s="34">
        <f t="shared" si="57"/>
        <v>601.85900000000004</v>
      </c>
      <c r="AD20" s="34">
        <f t="shared" si="57"/>
        <v>601.85900000000004</v>
      </c>
      <c r="AE20" s="34">
        <f t="shared" si="57"/>
        <v>601.85900000000004</v>
      </c>
      <c r="AF20" s="34">
        <f t="shared" si="57"/>
        <v>601.85900000000004</v>
      </c>
      <c r="AG20" s="34">
        <f t="shared" si="57"/>
        <v>601.85900000000004</v>
      </c>
      <c r="AH20" s="34">
        <f t="shared" si="57"/>
        <v>601.85900000000004</v>
      </c>
      <c r="AI20" s="34">
        <f t="shared" si="57"/>
        <v>601.85900000000004</v>
      </c>
      <c r="AJ20" s="34">
        <f t="shared" si="57"/>
        <v>601.85900000000004</v>
      </c>
      <c r="AK20" s="34">
        <f t="shared" si="57"/>
        <v>601.85900000000004</v>
      </c>
      <c r="AL20" s="34">
        <f t="shared" ref="AL20:AM20" si="58">AK20</f>
        <v>601.85900000000004</v>
      </c>
      <c r="AM20" s="34">
        <f t="shared" si="58"/>
        <v>601.85900000000004</v>
      </c>
    </row>
    <row r="21" spans="2:78" ht="15" x14ac:dyDescent="0.25">
      <c r="B21" s="1"/>
      <c r="C21" s="7"/>
      <c r="D21" s="7"/>
      <c r="E21" s="7"/>
      <c r="O21" s="7"/>
      <c r="Q21" s="74"/>
      <c r="R21" s="181"/>
      <c r="S21" s="74"/>
      <c r="T21" s="235"/>
      <c r="AO21" s="133" t="s">
        <v>118</v>
      </c>
      <c r="AP21" s="127">
        <v>-0.01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282">
        <f t="shared" ref="N22" si="61">N5/N3</f>
        <v>0.75400515367769483</v>
      </c>
      <c r="O22" s="10"/>
      <c r="Q22" s="77">
        <f>Q5/Q3</f>
        <v>0.73</v>
      </c>
      <c r="R22" s="182">
        <f>R5/R3</f>
        <v>0.74</v>
      </c>
      <c r="S22" s="77">
        <f t="shared" ref="S22:T22" si="62">S5/S3</f>
        <v>0.74</v>
      </c>
      <c r="T22" s="117">
        <v>0.76</v>
      </c>
      <c r="V22" s="10">
        <f>V5/V3</f>
        <v>0.74033781260654741</v>
      </c>
      <c r="W22" s="10">
        <f>W5/W3</f>
        <v>0.74110310596030293</v>
      </c>
      <c r="X22" s="282">
        <f t="shared" ref="X22:AK22" si="63">X5/X3</f>
        <v>0.75386732534790202</v>
      </c>
      <c r="Y22" s="117">
        <f t="shared" si="63"/>
        <v>0.73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</v>
      </c>
      <c r="AL22" s="10">
        <f t="shared" ref="AL22:AM22" si="64">AL5/AL3</f>
        <v>0.73</v>
      </c>
      <c r="AM22" s="10">
        <f t="shared" si="64"/>
        <v>0.73</v>
      </c>
      <c r="AO22" s="134" t="s">
        <v>114</v>
      </c>
      <c r="AP22" s="128">
        <v>0.09</v>
      </c>
      <c r="AR22" s="65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0">
        <f t="shared" si="65"/>
        <v>-0.24553025920892319</v>
      </c>
      <c r="K23" s="10">
        <f t="shared" ref="K23:L23" si="66">K12/K3</f>
        <v>-0.28225917555023522</v>
      </c>
      <c r="L23" s="10">
        <f t="shared" si="66"/>
        <v>-0.2879989580637578</v>
      </c>
      <c r="M23" s="10">
        <f t="shared" ref="M23:N23" si="67">M12/M3</f>
        <v>-0.5794918747476856</v>
      </c>
      <c r="N23" s="282">
        <f t="shared" si="67"/>
        <v>-0.52141090562414072</v>
      </c>
      <c r="O23" s="10"/>
      <c r="Q23" s="77">
        <f>Q12/Q3</f>
        <v>-0.17383762059111754</v>
      </c>
      <c r="R23" s="182">
        <f>R12/R3</f>
        <v>-0.31959466683854248</v>
      </c>
      <c r="S23" s="77">
        <f t="shared" ref="S23:T23" si="68">S12/S3</f>
        <v>-0.20020035171753023</v>
      </c>
      <c r="T23" s="117">
        <v>-0.45970540286300937</v>
      </c>
      <c r="V23" s="10">
        <f>V12/V3</f>
        <v>-0.28806290826239189</v>
      </c>
      <c r="W23" s="10">
        <f>W12/W3</f>
        <v>-0.25797358352338834</v>
      </c>
      <c r="X23" s="282">
        <f t="shared" ref="X23:AK23" si="69">X12/X3</f>
        <v>-0.41517411727905695</v>
      </c>
      <c r="Y23" s="117">
        <f t="shared" si="69"/>
        <v>-0.30138477701625205</v>
      </c>
      <c r="Z23" s="10">
        <f t="shared" si="69"/>
        <v>-0.18048228406646424</v>
      </c>
      <c r="AA23" s="10">
        <f t="shared" si="69"/>
        <v>-7.423143499126994E-2</v>
      </c>
      <c r="AB23" s="10">
        <f t="shared" si="69"/>
        <v>1.9198753851295901E-2</v>
      </c>
      <c r="AC23" s="10">
        <f t="shared" si="69"/>
        <v>0.1014037749722405</v>
      </c>
      <c r="AD23" s="10">
        <f t="shared" si="69"/>
        <v>0.17377476441933074</v>
      </c>
      <c r="AE23" s="10">
        <f t="shared" si="69"/>
        <v>0.23752540686031906</v>
      </c>
      <c r="AF23" s="10">
        <f t="shared" si="69"/>
        <v>0.29371520146035102</v>
      </c>
      <c r="AG23" s="10">
        <f t="shared" si="69"/>
        <v>0.34326959425733872</v>
      </c>
      <c r="AH23" s="10">
        <f t="shared" si="69"/>
        <v>0.3869974105387049</v>
      </c>
      <c r="AI23" s="10">
        <f t="shared" si="69"/>
        <v>0.42560595911118643</v>
      </c>
      <c r="AJ23" s="10">
        <f t="shared" si="69"/>
        <v>0.4597141277384969</v>
      </c>
      <c r="AK23" s="10">
        <f t="shared" si="69"/>
        <v>0.48986374405161537</v>
      </c>
      <c r="AL23" s="10">
        <f t="shared" ref="AL23:AM23" si="70">AL12/AL3</f>
        <v>0.51652943777238436</v>
      </c>
      <c r="AM23" s="10">
        <f t="shared" si="70"/>
        <v>0.54012720716658447</v>
      </c>
      <c r="AO23" s="134" t="s">
        <v>115</v>
      </c>
      <c r="AP23" s="129">
        <f>NPV(AP22,X18:BZ18)</f>
        <v>36597.694883600954</v>
      </c>
      <c r="AR23" s="66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0">
        <f t="shared" ref="M24:N24" si="73">M18/M3</f>
        <v>-0.5831522463478378</v>
      </c>
      <c r="N24" s="282">
        <f t="shared" si="73"/>
        <v>-0.50342484680589428</v>
      </c>
      <c r="O24" s="10"/>
      <c r="Q24" s="77">
        <f>Q18/Q3</f>
        <v>-0.17647480466999524</v>
      </c>
      <c r="R24" s="182">
        <f>R18/R3</f>
        <v>-0.32004473066532035</v>
      </c>
      <c r="S24" s="77">
        <f t="shared" ref="S24:T24" si="74">S18/S3</f>
        <v>-0.20180364211915114</v>
      </c>
      <c r="T24" s="117">
        <v>-0.47146359813562494</v>
      </c>
      <c r="V24" s="10">
        <f>V18/V3</f>
        <v>-0.28230353344842696</v>
      </c>
      <c r="W24" s="10">
        <f>W18/W3</f>
        <v>-0.26234628208595223</v>
      </c>
      <c r="X24" s="282">
        <f t="shared" ref="X24:AK24" si="75">X18/X3</f>
        <v>-0.42007242976793363</v>
      </c>
      <c r="Y24" s="117">
        <f t="shared" si="75"/>
        <v>-0.30558495477076897</v>
      </c>
      <c r="Z24" s="10">
        <f t="shared" si="75"/>
        <v>-0.18408270106604296</v>
      </c>
      <c r="AA24" s="10">
        <f t="shared" si="75"/>
        <v>-7.7316730839189912E-2</v>
      </c>
      <c r="AB24" s="10">
        <f t="shared" si="75"/>
        <v>1.6555770988202215E-2</v>
      </c>
      <c r="AC24" s="10">
        <f t="shared" si="75"/>
        <v>9.914048740116102E-2</v>
      </c>
      <c r="AD24" s="10">
        <f t="shared" si="75"/>
        <v>0.17183733006535093</v>
      </c>
      <c r="AE24" s="10">
        <f t="shared" si="75"/>
        <v>0.2358675395343742</v>
      </c>
      <c r="AF24" s="10">
        <f t="shared" si="75"/>
        <v>0.29229711949418069</v>
      </c>
      <c r="AG24" s="10">
        <f t="shared" si="75"/>
        <v>0.34205711439969938</v>
      </c>
      <c r="AH24" s="10">
        <f t="shared" si="75"/>
        <v>0.38596116716225037</v>
      </c>
      <c r="AI24" s="10">
        <f t="shared" si="75"/>
        <v>0.42472073150558476</v>
      </c>
      <c r="AJ24" s="10">
        <f t="shared" si="75"/>
        <v>0.45895826062062212</v>
      </c>
      <c r="AK24" s="10">
        <f t="shared" si="75"/>
        <v>0.48921864845830731</v>
      </c>
      <c r="AL24" s="10">
        <f t="shared" ref="AL24:AM24" si="76">AL18/AL3</f>
        <v>0.51597916125877441</v>
      </c>
      <c r="AM24" s="10">
        <f t="shared" si="76"/>
        <v>0.53965806375095227</v>
      </c>
      <c r="AO24" s="134" t="s">
        <v>7</v>
      </c>
      <c r="AP24" s="129">
        <f>Main!C11</f>
        <v>1988.4900000000002</v>
      </c>
    </row>
    <row r="25" spans="2:78" ht="15" x14ac:dyDescent="0.25">
      <c r="B25" s="6" t="s">
        <v>30</v>
      </c>
      <c r="C25" s="10">
        <f t="shared" ref="C25:J25" si="77">C17/C16</f>
        <v>-1.3355414284951119E-5</v>
      </c>
      <c r="D25" s="10">
        <f t="shared" si="77"/>
        <v>-6.9196490354009248E-5</v>
      </c>
      <c r="E25" s="10">
        <f t="shared" si="77"/>
        <v>-3.8003800380038001E-4</v>
      </c>
      <c r="F25" s="10">
        <f t="shared" si="77"/>
        <v>9.9393019726858919E-2</v>
      </c>
      <c r="G25" s="10">
        <f t="shared" si="77"/>
        <v>-1.4694969177302145E-5</v>
      </c>
      <c r="H25" s="10">
        <f t="shared" si="77"/>
        <v>-1.3993842709207952E-4</v>
      </c>
      <c r="I25" s="10">
        <f t="shared" si="77"/>
        <v>1.2764107024095776E-2</v>
      </c>
      <c r="J25" s="10">
        <f t="shared" si="77"/>
        <v>-4.4747307317139712E-3</v>
      </c>
      <c r="K25" s="10">
        <f t="shared" ref="K25:L25" si="78">K17/K16</f>
        <v>-1.7065479502875161E-3</v>
      </c>
      <c r="L25" s="10">
        <f t="shared" si="78"/>
        <v>-1.5529685160771344E-3</v>
      </c>
      <c r="M25" s="10">
        <f t="shared" ref="M25:N25" si="79">M17/M16</f>
        <v>-1.1673022715967497E-3</v>
      </c>
      <c r="N25" s="282">
        <f t="shared" si="79"/>
        <v>-1.1107141246622243E-2</v>
      </c>
      <c r="O25" s="10"/>
      <c r="Q25" s="77">
        <f>Q17/Q16</f>
        <v>-5.8143950486894873E-3</v>
      </c>
      <c r="R25" s="182">
        <f>R17/R16</f>
        <v>-1.554111834331342E-3</v>
      </c>
      <c r="S25" s="77">
        <f t="shared" ref="S25:T25" si="80">S17/S16</f>
        <v>-2.1744084525061108E-3</v>
      </c>
      <c r="T25" s="117">
        <v>-1.209261242904384E-3</v>
      </c>
      <c r="V25" s="10">
        <f>V17/V16</f>
        <v>2.4884847759765513E-2</v>
      </c>
      <c r="W25" s="10">
        <f>W17/W16</f>
        <v>6.3516008018896014E-4</v>
      </c>
      <c r="X25" s="282">
        <f t="shared" ref="X25:AK25" si="81">X17/X16</f>
        <v>-4.4144749214195516E-3</v>
      </c>
      <c r="Y25" s="117">
        <f t="shared" si="81"/>
        <v>-5.2813883538858318E-3</v>
      </c>
      <c r="Z25" s="10">
        <f t="shared" si="81"/>
        <v>-7.6416602661888182E-3</v>
      </c>
      <c r="AA25" s="10">
        <f t="shared" si="81"/>
        <v>-1.5951302748347509E-2</v>
      </c>
      <c r="AB25" s="10">
        <f t="shared" si="81"/>
        <v>5.9938486325123254E-2</v>
      </c>
      <c r="AC25" s="10">
        <f t="shared" si="81"/>
        <v>9.1737630100914586E-3</v>
      </c>
      <c r="AD25" s="10">
        <f t="shared" si="81"/>
        <v>4.6235236610659832E-3</v>
      </c>
      <c r="AE25" s="10">
        <f t="shared" si="81"/>
        <v>2.9340067917753626E-3</v>
      </c>
      <c r="AF25" s="10">
        <f t="shared" si="81"/>
        <v>2.0605691548849577E-3</v>
      </c>
      <c r="AG25" s="10">
        <f t="shared" si="81"/>
        <v>1.531952326385762E-3</v>
      </c>
      <c r="AH25" s="10">
        <f t="shared" si="81"/>
        <v>1.1810139958896941E-3</v>
      </c>
      <c r="AI25" s="10">
        <f t="shared" si="81"/>
        <v>9.3347990040066296E-4</v>
      </c>
      <c r="AJ25" s="10">
        <f t="shared" si="81"/>
        <v>7.513055278333421E-4</v>
      </c>
      <c r="AK25" s="10">
        <f t="shared" si="81"/>
        <v>6.1298386719565035E-4</v>
      </c>
      <c r="AL25" s="10">
        <f t="shared" ref="AL25:AM25" si="82">AL17/AL16</f>
        <v>5.0543903323255234E-4</v>
      </c>
      <c r="AM25" s="10">
        <f t="shared" si="82"/>
        <v>4.2026327198137485E-4</v>
      </c>
      <c r="AO25" s="134" t="s">
        <v>116</v>
      </c>
      <c r="AP25" s="129">
        <f>AP23+AP24</f>
        <v>38586.184883600952</v>
      </c>
    </row>
    <row r="26" spans="2:78" x14ac:dyDescent="0.25">
      <c r="B26" s="1"/>
      <c r="O26" s="7"/>
      <c r="Q26" s="74"/>
      <c r="R26" s="181"/>
      <c r="S26" s="74"/>
      <c r="T26" s="235"/>
      <c r="V26" s="7"/>
      <c r="W26" s="7"/>
      <c r="AO26" s="38" t="s">
        <v>117</v>
      </c>
      <c r="AP26" s="130">
        <f>AP25/Main!C7</f>
        <v>64.111668818778071</v>
      </c>
      <c r="AQ26" s="65"/>
      <c r="AS26" s="9"/>
    </row>
    <row r="27" spans="2:78" ht="15" x14ac:dyDescent="0.25">
      <c r="B27" s="15" t="s">
        <v>56</v>
      </c>
      <c r="C27" s="16" t="s">
        <v>33</v>
      </c>
      <c r="D27" s="10">
        <f t="shared" ref="D27:L27" si="83">D3/C3-1</f>
        <v>0.24027975490499487</v>
      </c>
      <c r="E27" s="10">
        <f t="shared" si="83"/>
        <v>0.25710607209868663</v>
      </c>
      <c r="F27" s="10">
        <f t="shared" si="83"/>
        <v>0.23061441603086785</v>
      </c>
      <c r="G27" s="10">
        <f t="shared" si="83"/>
        <v>0.24827343722279016</v>
      </c>
      <c r="H27" s="10">
        <f t="shared" si="83"/>
        <v>0.17345778549574131</v>
      </c>
      <c r="I27" s="10">
        <f t="shared" si="83"/>
        <v>0.12163840563752482</v>
      </c>
      <c r="J27" s="10">
        <f t="shared" si="83"/>
        <v>0.11668721629729695</v>
      </c>
      <c r="K27" s="10">
        <f t="shared" si="83"/>
        <v>-5.5620119943245783E-2</v>
      </c>
      <c r="L27" s="10">
        <f t="shared" si="83"/>
        <v>0.10066947912438984</v>
      </c>
      <c r="M27" s="10">
        <f t="shared" ref="M27" si="84">M3/L3-1</f>
        <v>-0.12432193800141067</v>
      </c>
      <c r="N27" s="10">
        <f t="shared" ref="N27" si="85">N3/M3-1</f>
        <v>0.11840094879922436</v>
      </c>
      <c r="O27" s="10"/>
      <c r="Q27" s="77">
        <f>Q3/J3-1</f>
        <v>0.13622563817648281</v>
      </c>
      <c r="R27" s="182">
        <f>R3/K3-1</f>
        <v>3.9857838081372554E-2</v>
      </c>
      <c r="S27" s="77">
        <f>S3/L3-1</f>
        <v>7.6898615882423638E-2</v>
      </c>
      <c r="T27" s="117">
        <v>-2.4222281558735514E-2</v>
      </c>
      <c r="V27" s="225" t="s">
        <v>33</v>
      </c>
      <c r="W27" s="225" t="s">
        <v>33</v>
      </c>
      <c r="AO27" s="135" t="s">
        <v>121</v>
      </c>
      <c r="AP27" s="131">
        <f>Main!C6</f>
        <v>41.46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6">G3/C3-1</f>
        <v>1.3950980998947826</v>
      </c>
      <c r="H28" s="13">
        <f t="shared" si="86"/>
        <v>1.2660585252904308</v>
      </c>
      <c r="I28" s="13">
        <f t="shared" si="86"/>
        <v>1.0218646045872801</v>
      </c>
      <c r="J28" s="13">
        <f t="shared" si="86"/>
        <v>0.83468544461612404</v>
      </c>
      <c r="K28" s="13">
        <f t="shared" si="86"/>
        <v>0.38802923178698423</v>
      </c>
      <c r="L28" s="13">
        <f t="shared" si="86"/>
        <v>0.3019312926668134</v>
      </c>
      <c r="M28" s="13">
        <f t="shared" ref="M28" si="87">M3/I3-1</f>
        <v>1.6435123376317362E-2</v>
      </c>
      <c r="N28" s="13">
        <f t="shared" ref="N28" si="88">N3/J3-1</f>
        <v>1.7995003243847618E-2</v>
      </c>
      <c r="O28" s="13"/>
      <c r="Q28" s="78">
        <f>Q3/G3-1</f>
        <v>0.66999999999999993</v>
      </c>
      <c r="R28" s="183">
        <f>R3/H3-1</f>
        <v>0.22999999999999998</v>
      </c>
      <c r="S28" s="78">
        <f>S3/I3-1</f>
        <v>0.25000000000000022</v>
      </c>
      <c r="T28" s="118">
        <v>9.2268390154878199E-2</v>
      </c>
      <c r="V28" s="13"/>
      <c r="W28" s="13">
        <f>W3/V3-1</f>
        <v>1.0772942519902369</v>
      </c>
      <c r="X28" s="283">
        <f t="shared" ref="X28:AK28" si="89">X3/W3-1</f>
        <v>0.15937579623808262</v>
      </c>
      <c r="Y28" s="118">
        <f t="shared" si="89"/>
        <v>0.14999999999999991</v>
      </c>
      <c r="Z28" s="13">
        <f t="shared" si="89"/>
        <v>0.14999999999999991</v>
      </c>
      <c r="AA28" s="13">
        <f t="shared" si="89"/>
        <v>0.14999999999999991</v>
      </c>
      <c r="AB28" s="13">
        <f t="shared" si="89"/>
        <v>0.14999999999999991</v>
      </c>
      <c r="AC28" s="13">
        <f t="shared" si="89"/>
        <v>0.14999999999999991</v>
      </c>
      <c r="AD28" s="13">
        <f t="shared" si="89"/>
        <v>0.14999999999999991</v>
      </c>
      <c r="AE28" s="13">
        <f t="shared" si="89"/>
        <v>0.14999999999999991</v>
      </c>
      <c r="AF28" s="13">
        <f t="shared" si="89"/>
        <v>0.14999999999999991</v>
      </c>
      <c r="AG28" s="13">
        <f t="shared" si="89"/>
        <v>0.14999999999999991</v>
      </c>
      <c r="AH28" s="13">
        <f t="shared" si="89"/>
        <v>0.14999999999999991</v>
      </c>
      <c r="AI28" s="13">
        <f t="shared" si="89"/>
        <v>0.14999999999999991</v>
      </c>
      <c r="AJ28" s="13">
        <f t="shared" si="89"/>
        <v>0.14999999999999991</v>
      </c>
      <c r="AK28" s="13">
        <f t="shared" si="89"/>
        <v>0.14999999999999991</v>
      </c>
      <c r="AL28" s="13">
        <f t="shared" ref="AL28:AM28" si="90">AL3/AK3-1</f>
        <v>0.14999999999999991</v>
      </c>
      <c r="AM28" s="13">
        <f t="shared" si="90"/>
        <v>0.14999999999999991</v>
      </c>
      <c r="AO28" s="136" t="s">
        <v>120</v>
      </c>
      <c r="AP28" s="132">
        <f>AP26/AP27-1</f>
        <v>0.54634994738972664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13"/>
      <c r="Q29" s="78"/>
      <c r="R29" s="183"/>
      <c r="S29" s="220"/>
      <c r="T29" s="118"/>
      <c r="V29" s="13"/>
      <c r="W29" s="13"/>
      <c r="X29" s="283"/>
      <c r="Y29" s="118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03" customFormat="1" ht="15" x14ac:dyDescent="0.25">
      <c r="B30" s="203" t="s">
        <v>216</v>
      </c>
      <c r="C30" s="2" t="s">
        <v>33</v>
      </c>
      <c r="D30" s="204">
        <f t="shared" ref="D30:K30" si="91">D8/C8-1</f>
        <v>-0.18539132546702008</v>
      </c>
      <c r="E30" s="204">
        <f t="shared" si="91"/>
        <v>0.28470272553355347</v>
      </c>
      <c r="F30" s="204">
        <f t="shared" si="91"/>
        <v>0.16165777055774733</v>
      </c>
      <c r="G30" s="204">
        <f t="shared" si="91"/>
        <v>0.60893668736577489</v>
      </c>
      <c r="H30" s="204">
        <f t="shared" si="91"/>
        <v>0.29079922188651119</v>
      </c>
      <c r="I30" s="204">
        <f t="shared" si="91"/>
        <v>0.10819411934459877</v>
      </c>
      <c r="J30" s="204">
        <f t="shared" si="91"/>
        <v>0.25552461210170341</v>
      </c>
      <c r="K30" s="204">
        <f t="shared" si="91"/>
        <v>2.4151639108140888E-2</v>
      </c>
      <c r="L30" s="204">
        <f>L8/K8-1</f>
        <v>0.19123884744771091</v>
      </c>
      <c r="M30" s="204">
        <f t="shared" ref="M30" si="92">M8/L8-1</f>
        <v>0.11236464438011495</v>
      </c>
      <c r="N30" s="204">
        <f t="shared" ref="N30" si="93">N8/M8-1</f>
        <v>5.4578414016497545E-2</v>
      </c>
      <c r="O30" s="204"/>
      <c r="Q30" s="206"/>
      <c r="R30" s="207"/>
      <c r="S30" s="221">
        <f>S8/L8-1</f>
        <v>-0.14026981054699483</v>
      </c>
      <c r="T30" s="236">
        <v>8.0000000000000071E-2</v>
      </c>
      <c r="V30" s="204"/>
      <c r="W30" s="204"/>
      <c r="X30" s="284"/>
      <c r="Y30" s="205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</row>
    <row r="31" spans="2:78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4">G8/C8-1</f>
        <v>0.95599991904308945</v>
      </c>
      <c r="H31" s="13">
        <f t="shared" si="94"/>
        <v>2.0994061964272404</v>
      </c>
      <c r="I31" s="13">
        <f t="shared" si="94"/>
        <v>1.6735708207627447</v>
      </c>
      <c r="J31" s="13">
        <f t="shared" si="94"/>
        <v>1.8896066059566814</v>
      </c>
      <c r="K31" s="13">
        <f t="shared" si="94"/>
        <v>0.83934853689830713</v>
      </c>
      <c r="L31" s="13">
        <f>L8/H8-1</f>
        <v>0.69747811588161723</v>
      </c>
      <c r="M31" s="13">
        <f t="shared" ref="M31" si="95">M8/I8-1</f>
        <v>0.70386632427935902</v>
      </c>
      <c r="N31" s="13">
        <f t="shared" ref="N31" si="96">N8/J8-1</f>
        <v>0.43116321945036606</v>
      </c>
      <c r="O31" s="13"/>
      <c r="Q31" s="78"/>
      <c r="R31" s="183"/>
      <c r="S31" s="220">
        <f>S8/I8-1</f>
        <v>0.31689309362363915</v>
      </c>
      <c r="T31" s="237">
        <v>0.46566272973440115</v>
      </c>
      <c r="V31" s="13"/>
      <c r="W31" s="13">
        <f>W8/V8-1</f>
        <v>1.6470687523891319</v>
      </c>
      <c r="X31" s="283"/>
      <c r="Y31" s="118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83"/>
      <c r="O32" s="13"/>
      <c r="Q32" s="13"/>
      <c r="R32" s="183"/>
      <c r="S32" s="78"/>
      <c r="T32" s="118"/>
      <c r="V32" s="13"/>
      <c r="W32" s="13"/>
      <c r="X32" s="283"/>
      <c r="Y32" s="118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51"/>
      <c r="AP32" s="81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83"/>
      <c r="O33" s="13"/>
      <c r="Q33" s="13"/>
      <c r="R33" s="183"/>
      <c r="S33" s="78"/>
      <c r="T33" s="118"/>
      <c r="V33" s="13"/>
      <c r="W33" s="13"/>
      <c r="X33" s="283"/>
      <c r="Y33" s="118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1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4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85">
        <v>899.4</v>
      </c>
      <c r="O34" s="13"/>
      <c r="Q34" s="13"/>
      <c r="R34" s="184">
        <f>K34*(1+R35)</f>
        <v>634.36203</v>
      </c>
      <c r="S34" s="222">
        <f>R34*(1+S35)</f>
        <v>637.53384014999995</v>
      </c>
      <c r="T34" s="153">
        <v>757.83600000000013</v>
      </c>
      <c r="V34" s="3">
        <f>SUM(C34:F34)</f>
        <v>1882.5429999999999</v>
      </c>
      <c r="W34" s="3">
        <f>SUM(D34:G34)</f>
        <v>2285.2439999999997</v>
      </c>
      <c r="X34" s="3">
        <f>SUM(K34:N34)</f>
        <v>2872.2080000000001</v>
      </c>
      <c r="Y34" s="118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1"/>
    </row>
    <row r="35" spans="2:42" s="1" customFormat="1" ht="15" x14ac:dyDescent="0.25">
      <c r="B35" s="82" t="s">
        <v>128</v>
      </c>
      <c r="C35" s="2" t="s">
        <v>33</v>
      </c>
      <c r="D35" s="123">
        <f t="shared" ref="D35:L35" si="97">D34/C34-1</f>
        <v>0.98004215148892526</v>
      </c>
      <c r="E35" s="123">
        <f t="shared" si="97"/>
        <v>4.6825896299054204E-3</v>
      </c>
      <c r="F35" s="123">
        <f t="shared" si="97"/>
        <v>0.29371682931004939</v>
      </c>
      <c r="G35" s="123">
        <f t="shared" si="97"/>
        <v>1.5515848241739683E-2</v>
      </c>
      <c r="H35" s="123">
        <f t="shared" si="97"/>
        <v>2.0241400509292795E-2</v>
      </c>
      <c r="I35" s="123">
        <f t="shared" si="97"/>
        <v>-4.1544449119432669E-2</v>
      </c>
      <c r="J35" s="123">
        <f t="shared" si="97"/>
        <v>0.20739441201693865</v>
      </c>
      <c r="K35" s="123">
        <f t="shared" si="97"/>
        <v>-0.18037542396210438</v>
      </c>
      <c r="L35" s="123">
        <f t="shared" si="97"/>
        <v>1.3776801868169875E-2</v>
      </c>
      <c r="M35" s="123">
        <f t="shared" ref="M35" si="98">M34/L34-1</f>
        <v>9.6574162918696915E-2</v>
      </c>
      <c r="N35" s="283">
        <f>N34/M34-1</f>
        <v>0.28174433518597675</v>
      </c>
      <c r="O35" s="13"/>
      <c r="Q35" s="13"/>
      <c r="R35" s="183">
        <v>5.0000000000000001E-3</v>
      </c>
      <c r="S35" s="78">
        <v>5.0000000000000001E-3</v>
      </c>
      <c r="T35" s="118">
        <v>8.0000000000000071E-2</v>
      </c>
      <c r="V35" s="210" t="s">
        <v>33</v>
      </c>
      <c r="W35" s="210" t="s">
        <v>33</v>
      </c>
      <c r="X35" s="210" t="s">
        <v>33</v>
      </c>
      <c r="Y35" s="118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51"/>
      <c r="AP35" s="81"/>
    </row>
    <row r="36" spans="2:42" ht="15" x14ac:dyDescent="0.25">
      <c r="B36" s="82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3">
        <f>G34/C34-1</f>
        <v>1.6135405647978973</v>
      </c>
      <c r="H36" s="83">
        <f>H34/D34-1</f>
        <v>0.3466593547577661</v>
      </c>
      <c r="I36" s="83">
        <f>I34/E34-1</f>
        <v>0.28469742288286648</v>
      </c>
      <c r="J36" s="83">
        <f>J34/F34-1</f>
        <v>0.19897681964033009</v>
      </c>
      <c r="K36" s="83">
        <f t="shared" ref="K36:L36" si="99">K34/G34-1</f>
        <v>-3.2303760518920699E-2</v>
      </c>
      <c r="L36" s="83">
        <f t="shared" si="99"/>
        <v>-3.8435415038769016E-2</v>
      </c>
      <c r="M36" s="83">
        <f t="shared" ref="M36" si="100">M34/I34-1</f>
        <v>0.10013122557158383</v>
      </c>
      <c r="N36" s="286">
        <f>N34/J34-1</f>
        <v>0.16787600828966021</v>
      </c>
      <c r="R36" s="185">
        <f>R34/H34-1</f>
        <v>-4.6760188134880143E-2</v>
      </c>
      <c r="S36" s="223">
        <f>S34/I34-1</f>
        <v>-4.6902535616688557E-4</v>
      </c>
      <c r="T36" s="154">
        <v>-1.5945649746271773E-2</v>
      </c>
      <c r="W36" s="83">
        <f>W34/V34-1</f>
        <v>0.21391330769071404</v>
      </c>
      <c r="X36" s="83">
        <f>X34/W34-1</f>
        <v>0.25684959680454278</v>
      </c>
      <c r="AP36" s="54"/>
    </row>
    <row r="37" spans="2:42" x14ac:dyDescent="0.25">
      <c r="B37" s="1"/>
      <c r="AP37" s="54"/>
    </row>
    <row r="38" spans="2:42" x14ac:dyDescent="0.25">
      <c r="B38" s="12" t="s">
        <v>36</v>
      </c>
      <c r="F38" s="102"/>
      <c r="G38" s="102"/>
      <c r="H38" s="102"/>
      <c r="I38" s="102"/>
      <c r="J38" s="102"/>
      <c r="K38" s="102"/>
      <c r="L38" s="102"/>
      <c r="M38" s="102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67">
        <v>3132.9639999999999</v>
      </c>
      <c r="L39" s="167">
        <v>3075.4749999999999</v>
      </c>
      <c r="M39" s="167">
        <v>3021.5070000000001</v>
      </c>
      <c r="N39" s="275">
        <v>2977.4740000000002</v>
      </c>
      <c r="Q39" s="2"/>
      <c r="R39" s="13"/>
      <c r="S39" s="2"/>
      <c r="X39" s="294"/>
      <c r="Y39" s="300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79">
        <v>179.732</v>
      </c>
      <c r="L40" s="79">
        <v>186.82499999999999</v>
      </c>
      <c r="M40" s="79">
        <v>185.83099999999999</v>
      </c>
      <c r="N40" s="276">
        <v>379.35300000000001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79">
        <v>43.122999999999998</v>
      </c>
      <c r="L41" s="79">
        <v>57.594999999999999</v>
      </c>
      <c r="M41" s="79">
        <v>72.924999999999997</v>
      </c>
      <c r="N41" s="276">
        <v>61.640999999999998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79">
        <v>398.19400000000002</v>
      </c>
      <c r="L42" s="79">
        <v>405.89100000000002</v>
      </c>
      <c r="M42" s="79">
        <v>387.81700000000001</v>
      </c>
      <c r="N42" s="276">
        <v>420.13600000000002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79">
        <v>338.87900000000002</v>
      </c>
      <c r="L43" s="79">
        <v>425.95</v>
      </c>
      <c r="M43" s="79">
        <v>525.928</v>
      </c>
      <c r="N43" s="276">
        <v>592.346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4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79">
        <v>286.24200000000002</v>
      </c>
      <c r="L44" s="79">
        <v>424.416</v>
      </c>
      <c r="M44" s="79">
        <v>452.85199999999998</v>
      </c>
      <c r="N44" s="276">
        <v>526.03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79">
        <v>159.404</v>
      </c>
      <c r="L45" s="79">
        <v>154.328</v>
      </c>
      <c r="M45" s="79">
        <v>204.92099999999999</v>
      </c>
      <c r="N45" s="276">
        <v>225.13200000000001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8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79">
        <f>118.071+55.854</f>
        <v>173.92500000000001</v>
      </c>
      <c r="L46" s="79">
        <f>56.317+130.453</f>
        <v>186.77</v>
      </c>
      <c r="M46" s="79">
        <f>53.655+130.452</f>
        <v>184.107</v>
      </c>
      <c r="N46" s="276">
        <f>134.335+54.717</f>
        <v>189.05200000000002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79">
        <v>3.3679999999999999</v>
      </c>
      <c r="L47" s="79">
        <v>2.17</v>
      </c>
      <c r="M47" s="79">
        <v>2.4350000000000001</v>
      </c>
      <c r="N47" s="276">
        <v>4.3230000000000004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N48" si="101">SUM(F39:F47)</f>
        <v>1847.8</v>
      </c>
      <c r="G48" s="5">
        <f t="shared" si="101"/>
        <v>2816.0789999999997</v>
      </c>
      <c r="H48" s="5">
        <f t="shared" si="101"/>
        <v>3073.7910000000002</v>
      </c>
      <c r="I48" s="5">
        <f t="shared" si="101"/>
        <v>3272.2799999999997</v>
      </c>
      <c r="J48" s="5">
        <f t="shared" si="101"/>
        <v>4560.5960000000005</v>
      </c>
      <c r="K48" s="5">
        <f t="shared" si="101"/>
        <v>4715.831000000001</v>
      </c>
      <c r="L48" s="5">
        <f t="shared" si="101"/>
        <v>4919.420000000001</v>
      </c>
      <c r="M48" s="5">
        <f t="shared" si="101"/>
        <v>5038.3230000000012</v>
      </c>
      <c r="N48" s="5">
        <f t="shared" si="101"/>
        <v>5375.4870000000001</v>
      </c>
    </row>
    <row r="49" spans="2:25" x14ac:dyDescent="0.25">
      <c r="C49" s="2"/>
      <c r="F49" s="5"/>
      <c r="K49" s="80"/>
      <c r="L49" s="80"/>
      <c r="M49" s="80"/>
    </row>
    <row r="50" spans="2:25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79">
        <v>54.295000000000002</v>
      </c>
      <c r="L50" s="79">
        <v>77.509</v>
      </c>
      <c r="M50" s="79">
        <v>45.098999999999997</v>
      </c>
      <c r="N50" s="276">
        <v>71.182000000000002</v>
      </c>
    </row>
    <row r="51" spans="2:25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79">
        <v>223.32300000000001</v>
      </c>
      <c r="L51" s="79">
        <v>231.19900000000001</v>
      </c>
      <c r="M51" s="79">
        <v>273.83199999999999</v>
      </c>
      <c r="N51" s="276">
        <v>236.006</v>
      </c>
    </row>
    <row r="52" spans="2:25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79">
        <v>149.816</v>
      </c>
      <c r="L52" s="79">
        <v>147.19200000000001</v>
      </c>
      <c r="M52" s="79">
        <v>168.36699999999999</v>
      </c>
      <c r="N52" s="276">
        <v>231.70400000000001</v>
      </c>
    </row>
    <row r="53" spans="2:25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79">
        <v>1747.2940000000001</v>
      </c>
      <c r="L53" s="79">
        <v>1807.6389999999999</v>
      </c>
      <c r="M53" s="79">
        <v>1750.86</v>
      </c>
      <c r="N53" s="276">
        <v>1941.943</v>
      </c>
      <c r="Q53" s="53"/>
      <c r="R53" s="53"/>
    </row>
    <row r="54" spans="2:25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79">
        <v>724.35900000000004</v>
      </c>
      <c r="L54" s="79">
        <v>716.154</v>
      </c>
      <c r="M54" s="79">
        <v>960.92399999999998</v>
      </c>
      <c r="N54" s="276">
        <v>1095.2909999999999</v>
      </c>
    </row>
    <row r="55" spans="2:25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4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79">
        <v>259.84100000000001</v>
      </c>
      <c r="L55" s="79">
        <v>399.77600000000001</v>
      </c>
      <c r="M55" s="79">
        <v>425.97300000000001</v>
      </c>
      <c r="N55" s="276">
        <v>494.59</v>
      </c>
    </row>
    <row r="56" spans="2:25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67">
        <v>988.03399999999999</v>
      </c>
      <c r="L56" s="167">
        <v>988.34500000000003</v>
      </c>
      <c r="M56" s="167">
        <v>988.66300000000001</v>
      </c>
      <c r="N56" s="275">
        <v>988.98400000000004</v>
      </c>
      <c r="Q56" s="2"/>
      <c r="R56" s="2"/>
      <c r="S56" s="2"/>
      <c r="X56" s="294"/>
      <c r="Y56" s="300"/>
    </row>
    <row r="57" spans="2:25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79">
        <v>1.4079999999999999</v>
      </c>
      <c r="L57" s="79">
        <v>1.2999999999999999E-4</v>
      </c>
      <c r="M57" s="79">
        <v>1.2999999999999999E-2</v>
      </c>
      <c r="N57" s="276">
        <v>10.752000000000001</v>
      </c>
    </row>
    <row r="58" spans="2:25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N58" si="102">SUM(F50:F57)</f>
        <v>1735.354</v>
      </c>
      <c r="G58" s="5">
        <f t="shared" si="102"/>
        <v>2224.4850000000001</v>
      </c>
      <c r="H58" s="5">
        <f t="shared" si="102"/>
        <v>2531.752</v>
      </c>
      <c r="I58" s="5">
        <f t="shared" si="102"/>
        <v>2666.4490000000001</v>
      </c>
      <c r="J58" s="5">
        <f t="shared" si="102"/>
        <v>3967.6709999999998</v>
      </c>
      <c r="K58" s="5">
        <f t="shared" si="102"/>
        <v>4148.37</v>
      </c>
      <c r="L58" s="5">
        <f t="shared" si="102"/>
        <v>4367.8141299999997</v>
      </c>
      <c r="M58" s="5">
        <f t="shared" si="102"/>
        <v>4613.7309999999998</v>
      </c>
      <c r="N58" s="5">
        <f t="shared" si="102"/>
        <v>5070.4520000000011</v>
      </c>
    </row>
    <row r="59" spans="2:25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25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79">
        <v>567.46100000000001</v>
      </c>
      <c r="L60" s="79">
        <v>551.59299999999996</v>
      </c>
      <c r="M60" s="79">
        <v>424.59300000000002</v>
      </c>
      <c r="N60" s="276">
        <v>305.03500000000003</v>
      </c>
    </row>
    <row r="61" spans="2:25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N61" si="103">G60+G58</f>
        <v>2816.0790000000002</v>
      </c>
      <c r="H61" s="5">
        <f t="shared" si="103"/>
        <v>3073.7910000000002</v>
      </c>
      <c r="I61" s="5">
        <f t="shared" si="103"/>
        <v>3272.2890000000002</v>
      </c>
      <c r="J61" s="5">
        <f t="shared" si="103"/>
        <v>4560.5940000000001</v>
      </c>
      <c r="K61" s="5">
        <f t="shared" si="103"/>
        <v>4715.8310000000001</v>
      </c>
      <c r="L61" s="5">
        <f t="shared" si="103"/>
        <v>4919.4071299999996</v>
      </c>
      <c r="M61" s="5">
        <f t="shared" si="103"/>
        <v>5038.3239999999996</v>
      </c>
      <c r="N61" s="5">
        <f t="shared" si="103"/>
        <v>5375.487000000001</v>
      </c>
    </row>
    <row r="62" spans="2:25" x14ac:dyDescent="0.25">
      <c r="F62" s="5"/>
    </row>
    <row r="63" spans="2:25" x14ac:dyDescent="0.25">
      <c r="B63" s="186" t="s">
        <v>199</v>
      </c>
      <c r="F63" s="5">
        <f t="shared" ref="F63:K63" si="104">F48-F58</f>
        <v>112.44599999999991</v>
      </c>
      <c r="G63" s="5">
        <f t="shared" si="104"/>
        <v>591.5939999999996</v>
      </c>
      <c r="H63" s="5">
        <f t="shared" si="104"/>
        <v>542.03900000000021</v>
      </c>
      <c r="I63" s="5">
        <f t="shared" si="104"/>
        <v>605.83099999999968</v>
      </c>
      <c r="J63" s="5">
        <f t="shared" si="104"/>
        <v>592.92500000000064</v>
      </c>
      <c r="K63" s="5">
        <f t="shared" si="104"/>
        <v>567.46100000000115</v>
      </c>
      <c r="L63" s="5">
        <f>L48-L58</f>
        <v>551.60587000000123</v>
      </c>
      <c r="M63" s="5">
        <f t="shared" ref="M63:N63" si="105">M48-M58</f>
        <v>424.59200000000146</v>
      </c>
      <c r="N63" s="5">
        <f t="shared" si="105"/>
        <v>305.03499999999894</v>
      </c>
    </row>
    <row r="64" spans="2:25" s="198" customFormat="1" ht="15" x14ac:dyDescent="0.25">
      <c r="B64" s="198" t="s">
        <v>200</v>
      </c>
      <c r="C64" s="2" t="s">
        <v>33</v>
      </c>
      <c r="D64" s="2" t="s">
        <v>33</v>
      </c>
      <c r="E64" s="2" t="s">
        <v>33</v>
      </c>
      <c r="F64" s="199">
        <f t="shared" ref="F64:K64" si="106">F63/F20</f>
        <v>0.576205873460791</v>
      </c>
      <c r="G64" s="199">
        <f t="shared" si="106"/>
        <v>2.0324522286428865</v>
      </c>
      <c r="H64" s="199">
        <f t="shared" si="106"/>
        <v>0.94878172588832532</v>
      </c>
      <c r="I64" s="199">
        <f t="shared" si="106"/>
        <v>1.0519141148607816</v>
      </c>
      <c r="J64" s="199">
        <f t="shared" si="106"/>
        <v>1.0195860954198812</v>
      </c>
      <c r="K64" s="199">
        <f t="shared" si="106"/>
        <v>0.96421538058964962</v>
      </c>
      <c r="L64" s="199">
        <f>L63/L20</f>
        <v>0.92874198556054144</v>
      </c>
      <c r="M64" s="199">
        <f t="shared" ref="M64:N64" si="107">M63/M20</f>
        <v>0.71028256261929823</v>
      </c>
      <c r="N64" s="199">
        <f t="shared" si="107"/>
        <v>0.50682136513701537</v>
      </c>
      <c r="Q64" s="199"/>
      <c r="R64" s="199"/>
      <c r="S64" s="199"/>
      <c r="X64" s="295"/>
      <c r="Y64" s="301"/>
    </row>
    <row r="65" spans="2:25" s="198" customFormat="1" ht="15" x14ac:dyDescent="0.25">
      <c r="C65" s="2"/>
      <c r="D65" s="2"/>
      <c r="E65" s="2"/>
      <c r="F65" s="199"/>
      <c r="G65" s="199"/>
      <c r="H65" s="199"/>
      <c r="I65" s="199"/>
      <c r="J65" s="199"/>
      <c r="K65" s="199"/>
      <c r="L65" s="199"/>
      <c r="M65" s="199"/>
      <c r="N65" s="199"/>
      <c r="Q65" s="199"/>
      <c r="R65" s="199"/>
      <c r="S65" s="199"/>
      <c r="X65" s="295"/>
      <c r="Y65" s="301"/>
    </row>
    <row r="66" spans="2:25" s="60" customFormat="1" x14ac:dyDescent="0.25">
      <c r="B66" s="60" t="s">
        <v>3</v>
      </c>
      <c r="C66" s="201"/>
      <c r="D66" s="201"/>
      <c r="E66" s="201"/>
      <c r="F66" s="202">
        <f t="shared" ref="F66:K66" si="108">F39</f>
        <v>893.94299999999998</v>
      </c>
      <c r="G66" s="202">
        <f t="shared" si="108"/>
        <v>1600.53</v>
      </c>
      <c r="H66" s="202">
        <f t="shared" si="108"/>
        <v>1780.2619999999999</v>
      </c>
      <c r="I66" s="202">
        <f t="shared" si="108"/>
        <v>1925.559</v>
      </c>
      <c r="J66" s="202">
        <f t="shared" si="108"/>
        <v>3004.3</v>
      </c>
      <c r="K66" s="202">
        <f t="shared" si="108"/>
        <v>3132.9639999999999</v>
      </c>
      <c r="L66" s="202">
        <f>L39</f>
        <v>3075.4749999999999</v>
      </c>
      <c r="M66" s="202">
        <f t="shared" ref="M66:N66" si="109">M39</f>
        <v>3021.5070000000001</v>
      </c>
      <c r="N66" s="202">
        <f t="shared" si="109"/>
        <v>2977.4740000000002</v>
      </c>
      <c r="Q66" s="58"/>
      <c r="R66" s="58"/>
      <c r="S66" s="58"/>
      <c r="X66" s="296"/>
      <c r="Y66" s="141"/>
    </row>
    <row r="67" spans="2:25" s="60" customFormat="1" x14ac:dyDescent="0.25">
      <c r="B67" s="60" t="s">
        <v>4</v>
      </c>
      <c r="C67" s="201"/>
      <c r="D67" s="201"/>
      <c r="E67" s="201"/>
      <c r="F67" s="202">
        <f t="shared" ref="F67:K67" si="110">F56</f>
        <v>0</v>
      </c>
      <c r="G67" s="202">
        <f t="shared" si="110"/>
        <v>0</v>
      </c>
      <c r="H67" s="202">
        <f t="shared" si="110"/>
        <v>0</v>
      </c>
      <c r="I67" s="202">
        <f t="shared" si="110"/>
        <v>0</v>
      </c>
      <c r="J67" s="202">
        <f t="shared" si="110"/>
        <v>987.72299999999996</v>
      </c>
      <c r="K67" s="202">
        <f t="shared" si="110"/>
        <v>988.03399999999999</v>
      </c>
      <c r="L67" s="202">
        <f>L56</f>
        <v>988.34500000000003</v>
      </c>
      <c r="M67" s="202">
        <f t="shared" ref="M67:N67" si="111">M56</f>
        <v>988.66300000000001</v>
      </c>
      <c r="N67" s="202">
        <f t="shared" si="111"/>
        <v>988.98400000000004</v>
      </c>
      <c r="Q67" s="58"/>
      <c r="R67" s="58"/>
      <c r="S67" s="58"/>
      <c r="X67" s="296"/>
      <c r="Y67" s="141"/>
    </row>
    <row r="68" spans="2:25" x14ac:dyDescent="0.25">
      <c r="B68" s="200" t="s">
        <v>7</v>
      </c>
      <c r="F68" s="5">
        <f>F66-F67</f>
        <v>893.94299999999998</v>
      </c>
      <c r="G68" s="5">
        <f t="shared" ref="G68:L68" si="112">G66-G67</f>
        <v>1600.53</v>
      </c>
      <c r="H68" s="5">
        <f t="shared" si="112"/>
        <v>1780.2619999999999</v>
      </c>
      <c r="I68" s="5">
        <f t="shared" si="112"/>
        <v>1925.559</v>
      </c>
      <c r="J68" s="5">
        <f t="shared" si="112"/>
        <v>2016.5770000000002</v>
      </c>
      <c r="K68" s="5">
        <f t="shared" si="112"/>
        <v>2144.9299999999998</v>
      </c>
      <c r="L68" s="5">
        <f t="shared" si="112"/>
        <v>2087.13</v>
      </c>
      <c r="M68" s="5">
        <f t="shared" ref="M68:N68" si="113">M66-M67</f>
        <v>2032.8440000000001</v>
      </c>
      <c r="N68" s="5">
        <f t="shared" si="113"/>
        <v>1988.4900000000002</v>
      </c>
    </row>
    <row r="70" spans="2:25" s="60" customFormat="1" x14ac:dyDescent="0.25">
      <c r="B70" s="60" t="s">
        <v>0</v>
      </c>
      <c r="C70" s="201"/>
      <c r="D70" s="201"/>
      <c r="E70" s="201"/>
      <c r="G70" s="58">
        <v>64.83</v>
      </c>
      <c r="H70" s="58">
        <v>89.98</v>
      </c>
      <c r="I70" s="58">
        <v>75.55</v>
      </c>
      <c r="J70" s="58">
        <v>103.16</v>
      </c>
      <c r="K70" s="58">
        <v>46.24</v>
      </c>
      <c r="L70" s="58">
        <v>32.86</v>
      </c>
      <c r="M70" s="58">
        <v>35.840000000000003</v>
      </c>
      <c r="N70" s="287">
        <v>28.37</v>
      </c>
      <c r="Q70" s="58"/>
      <c r="R70" s="58"/>
      <c r="S70" s="58"/>
      <c r="X70" s="296"/>
      <c r="Y70" s="141"/>
    </row>
    <row r="71" spans="2:25" s="60" customFormat="1" x14ac:dyDescent="0.25">
      <c r="B71" s="60" t="s">
        <v>2</v>
      </c>
      <c r="C71" s="201"/>
      <c r="D71" s="201"/>
      <c r="E71" s="201"/>
      <c r="F71" s="58"/>
      <c r="G71" s="202">
        <f t="shared" ref="G71:I71" si="114">G70*G20</f>
        <v>18870.327420000001</v>
      </c>
      <c r="H71" s="202">
        <f t="shared" si="114"/>
        <v>51405.574000000001</v>
      </c>
      <c r="I71" s="202">
        <f t="shared" si="114"/>
        <v>43511.662599999996</v>
      </c>
      <c r="J71" s="202">
        <f>J70*J20</f>
        <v>59991.150599999994</v>
      </c>
      <c r="K71" s="202">
        <f t="shared" ref="K71:L71" si="115">K70*K20</f>
        <v>27213.211039999998</v>
      </c>
      <c r="L71" s="202">
        <f t="shared" si="115"/>
        <v>19516.47408</v>
      </c>
      <c r="M71" s="202">
        <f t="shared" ref="M71:N71" si="116">M70*M20</f>
        <v>21424.399360000003</v>
      </c>
      <c r="N71" s="202">
        <f t="shared" si="116"/>
        <v>17074.739830000002</v>
      </c>
      <c r="Q71" s="58"/>
      <c r="R71" s="58"/>
      <c r="S71" s="58"/>
      <c r="X71" s="296"/>
      <c r="Y71" s="141"/>
    </row>
    <row r="72" spans="2:25" x14ac:dyDescent="0.25">
      <c r="B72" s="200" t="s">
        <v>5</v>
      </c>
      <c r="F72" s="5">
        <f t="shared" ref="F72:K72" si="117">F71-F68</f>
        <v>-893.94299999999998</v>
      </c>
      <c r="G72" s="5">
        <f t="shared" si="117"/>
        <v>17269.797420000003</v>
      </c>
      <c r="H72" s="5">
        <f t="shared" si="117"/>
        <v>49625.311999999998</v>
      </c>
      <c r="I72" s="5">
        <f t="shared" si="117"/>
        <v>41586.103599999995</v>
      </c>
      <c r="J72" s="5">
        <f t="shared" si="117"/>
        <v>57974.573599999996</v>
      </c>
      <c r="K72" s="5">
        <f t="shared" si="117"/>
        <v>25068.281039999998</v>
      </c>
      <c r="L72" s="5">
        <f>L71-L68</f>
        <v>17429.344079999999</v>
      </c>
      <c r="M72" s="5">
        <f t="shared" ref="M72:N72" si="118">M71-M68</f>
        <v>19391.555360000002</v>
      </c>
      <c r="N72" s="5">
        <f t="shared" si="118"/>
        <v>15086.249830000002</v>
      </c>
    </row>
    <row r="74" spans="2:25" x14ac:dyDescent="0.25">
      <c r="B74" s="200" t="s">
        <v>204</v>
      </c>
      <c r="G74" s="208">
        <f t="shared" ref="G74:I74" si="119">G70/G64</f>
        <v>31.897428675747243</v>
      </c>
      <c r="H74" s="208">
        <f t="shared" si="119"/>
        <v>94.837408378363875</v>
      </c>
      <c r="I74" s="208">
        <f t="shared" si="119"/>
        <v>71.82145284741128</v>
      </c>
      <c r="J74" s="208">
        <f>J70/J64</f>
        <v>101.1783119281527</v>
      </c>
      <c r="K74" s="208">
        <f t="shared" ref="K74:L74" si="120">K70/K64</f>
        <v>47.956090444982024</v>
      </c>
      <c r="L74" s="208">
        <f t="shared" si="120"/>
        <v>35.381193604774282</v>
      </c>
      <c r="M74" s="208">
        <f t="shared" ref="M74:N74" si="121">M70/M64</f>
        <v>50.45879187549442</v>
      </c>
      <c r="N74" s="208">
        <f t="shared" si="121"/>
        <v>55.976330027701934</v>
      </c>
    </row>
    <row r="75" spans="2:25" x14ac:dyDescent="0.25">
      <c r="B75" s="200" t="s">
        <v>213</v>
      </c>
      <c r="G75" s="208">
        <f t="shared" ref="G75" si="122">G71/SUM(D3:G3)</f>
        <v>16.419103099215079</v>
      </c>
      <c r="H75" s="208">
        <f t="shared" ref="H75" si="123">H71/SUM(E3:H3)</f>
        <v>36.639779500911978</v>
      </c>
      <c r="I75" s="208">
        <f t="shared" ref="I75" si="124">I71/SUM(F3:I3)</f>
        <v>26.205198922441955</v>
      </c>
      <c r="J75" s="208">
        <f t="shared" ref="J75:K75" si="125">J71/SUM(G3:J3)</f>
        <v>31.25872473727074</v>
      </c>
      <c r="K75" s="208">
        <f t="shared" si="125"/>
        <v>13.150678086094159</v>
      </c>
      <c r="L75" s="208">
        <f>L71/SUM(I3:L3)</f>
        <v>8.8452081220206615</v>
      </c>
      <c r="M75" s="208">
        <f t="shared" ref="M75" si="126">M71/SUM(J3:M3)</f>
        <v>9.6732142474976506</v>
      </c>
      <c r="N75" s="208">
        <f>N71/SUM($K$3:$N$3)</f>
        <v>7.6738610288658444</v>
      </c>
    </row>
    <row r="76" spans="2:25" x14ac:dyDescent="0.25">
      <c r="B76" s="224" t="s">
        <v>218</v>
      </c>
      <c r="G76" s="208">
        <f t="shared" ref="G76" si="127">G72/SUM(D3:G3)</f>
        <v>15.026479298976499</v>
      </c>
      <c r="H76" s="208">
        <f t="shared" ref="H76" si="128">H72/SUM(E3:H3)</f>
        <v>35.370881946458979</v>
      </c>
      <c r="I76" s="208">
        <f t="shared" ref="I76" si="129">I72/SUM(F3:I3)</f>
        <v>25.045517733153215</v>
      </c>
      <c r="J76" s="208">
        <f t="shared" ref="J76:K76" si="130">J72/SUM(G3:J3)</f>
        <v>30.207976006431906</v>
      </c>
      <c r="K76" s="208">
        <f t="shared" si="130"/>
        <v>12.114149030197565</v>
      </c>
      <c r="L76" s="208">
        <f>L72/SUM(I3:L3)</f>
        <v>7.8992842244949566</v>
      </c>
      <c r="M76" s="208">
        <f t="shared" ref="M76" si="131">M72/SUM(J3:M3)</f>
        <v>8.7553758888431883</v>
      </c>
      <c r="N76" s="208">
        <f t="shared" ref="N76:N77" si="132">N72/SUM($K$3:$N$3)</f>
        <v>6.7801785441418918</v>
      </c>
    </row>
    <row r="77" spans="2:25" x14ac:dyDescent="0.25">
      <c r="B77" s="200" t="s">
        <v>214</v>
      </c>
      <c r="G77" s="208">
        <f t="shared" ref="G77:L77" si="133">G70/SUM(D19:G19)</f>
        <v>-44.675361443232362</v>
      </c>
      <c r="H77" s="208">
        <f t="shared" si="133"/>
        <v>-69.182197616608946</v>
      </c>
      <c r="I77" s="208">
        <f t="shared" si="133"/>
        <v>-65.015776279415363</v>
      </c>
      <c r="J77" s="208">
        <f t="shared" si="133"/>
        <v>-93.354276916433804</v>
      </c>
      <c r="K77" s="208">
        <f t="shared" si="133"/>
        <v>-50.661466911577669</v>
      </c>
      <c r="L77" s="208">
        <f t="shared" si="133"/>
        <v>-34.073155589366579</v>
      </c>
      <c r="M77" s="208">
        <f>M70/SUM(J19:M19)</f>
        <v>-26.838223427392109</v>
      </c>
      <c r="N77" s="208">
        <f>N70/SUM($K$19:$N$19)</f>
        <v>-18.110490695810771</v>
      </c>
      <c r="P77" s="240"/>
    </row>
    <row r="78" spans="2:25" x14ac:dyDescent="0.25">
      <c r="B78" s="240" t="s">
        <v>253</v>
      </c>
      <c r="G78" s="83">
        <f t="shared" ref="G78:L78" si="134">SUM(D12:G12)/(G48-SUM(G50:G53))</f>
        <v>-0.25137548210801064</v>
      </c>
      <c r="H78" s="83">
        <f t="shared" si="134"/>
        <v>-0.30583278280508219</v>
      </c>
      <c r="I78" s="83">
        <f t="shared" si="134"/>
        <v>-0.31302756573649004</v>
      </c>
      <c r="J78" s="83">
        <f t="shared" si="134"/>
        <v>-0.20685053640976875</v>
      </c>
      <c r="K78" s="83">
        <f t="shared" si="134"/>
        <v>-0.2013507520159552</v>
      </c>
      <c r="L78" s="83">
        <f t="shared" si="134"/>
        <v>-0.20293605022212965</v>
      </c>
      <c r="M78" s="83">
        <f>SUM(J12:M12)/(M48-SUM(M50:M53))</f>
        <v>-0.27196075945524634</v>
      </c>
      <c r="N78" s="83">
        <f>SUM(K12:N12)/(N48-SUM(N50:N53))</f>
        <v>-0.31913473536715303</v>
      </c>
      <c r="P78" s="240"/>
    </row>
    <row r="79" spans="2:25" x14ac:dyDescent="0.25">
      <c r="B79" s="240"/>
      <c r="G79" s="83"/>
      <c r="H79" s="83"/>
      <c r="I79" s="83"/>
      <c r="J79" s="83"/>
      <c r="K79" s="83"/>
      <c r="L79" s="83"/>
      <c r="M79" s="83"/>
      <c r="P79" s="240"/>
    </row>
    <row r="80" spans="2:25" x14ac:dyDescent="0.25">
      <c r="B80" s="240"/>
      <c r="G80" s="83"/>
      <c r="H80" s="83"/>
      <c r="I80" s="83"/>
      <c r="J80" s="83"/>
      <c r="K80" s="83"/>
      <c r="L80" s="83"/>
      <c r="M80" s="83"/>
      <c r="P80" s="240"/>
    </row>
    <row r="81" spans="2:25" s="9" customFormat="1" x14ac:dyDescent="0.25">
      <c r="B81" s="242" t="s">
        <v>272</v>
      </c>
      <c r="C81" s="243"/>
      <c r="D81" s="243"/>
      <c r="E81" s="243"/>
      <c r="F81" s="5"/>
      <c r="G81" s="5"/>
      <c r="H81" s="5">
        <f>H18</f>
        <v>-142.93999999999997</v>
      </c>
      <c r="I81" s="5">
        <f>I18</f>
        <v>-77.189999999999955</v>
      </c>
      <c r="J81" s="5">
        <f t="shared" ref="J81:L81" si="135">J18</f>
        <v>-147.25700000000003</v>
      </c>
      <c r="K81" s="5">
        <f t="shared" si="135"/>
        <v>-162.00600000000003</v>
      </c>
      <c r="L81" s="5">
        <f t="shared" si="135"/>
        <v>-179.29000000000002</v>
      </c>
      <c r="M81" s="5">
        <f>M18</f>
        <v>-301.90200000000004</v>
      </c>
      <c r="N81" s="276"/>
      <c r="P81" s="244"/>
      <c r="Q81" s="5"/>
      <c r="R81" s="5"/>
      <c r="S81" s="5"/>
      <c r="X81" s="292"/>
      <c r="Y81" s="120"/>
    </row>
    <row r="82" spans="2:25" s="9" customFormat="1" x14ac:dyDescent="0.25">
      <c r="B82" s="242" t="s">
        <v>273</v>
      </c>
      <c r="C82" s="243"/>
      <c r="D82" s="243"/>
      <c r="E82" s="243"/>
      <c r="F82" s="5"/>
      <c r="G82" s="5"/>
      <c r="H82" s="5">
        <v>-142.93</v>
      </c>
      <c r="I82" s="5">
        <v>-77.19</v>
      </c>
      <c r="J82" s="5"/>
      <c r="K82" s="5"/>
      <c r="L82" s="5">
        <v>-178.73400000000001</v>
      </c>
      <c r="M82" s="5">
        <v>-301.90199999999999</v>
      </c>
      <c r="N82" s="276"/>
      <c r="P82" s="244"/>
      <c r="Q82" s="5"/>
      <c r="R82" s="5"/>
      <c r="S82" s="5"/>
      <c r="X82" s="292"/>
      <c r="Y82" s="120"/>
    </row>
    <row r="83" spans="2:25" s="9" customFormat="1" x14ac:dyDescent="0.25">
      <c r="B83" s="245"/>
      <c r="C83" s="243"/>
      <c r="D83" s="243"/>
      <c r="E83" s="243"/>
      <c r="F83" s="5"/>
      <c r="G83" s="5"/>
      <c r="H83" s="5"/>
      <c r="I83" s="5"/>
      <c r="J83" s="5"/>
      <c r="K83" s="5"/>
      <c r="L83" s="5"/>
      <c r="M83" s="5"/>
      <c r="N83" s="276"/>
      <c r="Q83" s="5"/>
      <c r="R83" s="5"/>
      <c r="S83" s="5"/>
      <c r="X83" s="292"/>
      <c r="Y83" s="120"/>
    </row>
    <row r="84" spans="2:25" s="9" customFormat="1" x14ac:dyDescent="0.25">
      <c r="B84" s="246" t="s">
        <v>252</v>
      </c>
      <c r="C84" s="243"/>
      <c r="D84" s="243"/>
      <c r="E84" s="243"/>
      <c r="F84" s="5"/>
      <c r="G84" s="5"/>
      <c r="H84" s="5"/>
      <c r="I84" s="5"/>
      <c r="J84" s="5"/>
      <c r="K84" s="5"/>
      <c r="L84" s="5"/>
      <c r="M84" s="5"/>
      <c r="N84" s="276"/>
      <c r="Q84" s="5"/>
      <c r="R84" s="5"/>
      <c r="S84" s="5"/>
      <c r="X84" s="292"/>
      <c r="Y84" s="120"/>
    </row>
    <row r="85" spans="2:25" s="9" customFormat="1" x14ac:dyDescent="0.25">
      <c r="B85" s="247" t="s">
        <v>254</v>
      </c>
      <c r="C85" s="243"/>
      <c r="D85" s="243"/>
      <c r="E85" s="243"/>
      <c r="F85" s="5"/>
      <c r="G85" s="5"/>
      <c r="H85" s="5">
        <v>17.79</v>
      </c>
      <c r="I85" s="5">
        <v>19.029</v>
      </c>
      <c r="J85" s="5"/>
      <c r="K85" s="5"/>
      <c r="L85" s="5">
        <v>28.995999999999999</v>
      </c>
      <c r="M85" s="5">
        <v>34.052</v>
      </c>
      <c r="N85" s="276">
        <v>42.537999999999997</v>
      </c>
      <c r="Q85" s="5"/>
      <c r="R85" s="5"/>
      <c r="S85" s="5"/>
      <c r="X85" s="292"/>
      <c r="Y85" s="120"/>
    </row>
    <row r="86" spans="2:25" s="9" customFormat="1" x14ac:dyDescent="0.25">
      <c r="B86" s="247" t="s">
        <v>255</v>
      </c>
      <c r="C86" s="243"/>
      <c r="D86" s="243"/>
      <c r="E86" s="243"/>
      <c r="F86" s="5"/>
      <c r="G86" s="5"/>
      <c r="H86" s="5">
        <v>81.659000000000006</v>
      </c>
      <c r="I86" s="5">
        <v>89.319000000000003</v>
      </c>
      <c r="J86" s="5"/>
      <c r="K86" s="5"/>
      <c r="L86" s="5">
        <v>146.38800000000001</v>
      </c>
      <c r="M86" s="5">
        <v>161.35900000000001</v>
      </c>
      <c r="N86" s="276">
        <v>169.45599999999999</v>
      </c>
      <c r="Q86" s="5"/>
      <c r="R86" s="5"/>
      <c r="S86" s="5"/>
      <c r="X86" s="292"/>
      <c r="Y86" s="120"/>
    </row>
    <row r="87" spans="2:25" s="9" customFormat="1" x14ac:dyDescent="0.25">
      <c r="B87" s="247" t="s">
        <v>257</v>
      </c>
      <c r="C87" s="243"/>
      <c r="D87" s="243"/>
      <c r="E87" s="243"/>
      <c r="F87" s="5"/>
      <c r="G87" s="5"/>
      <c r="H87" s="5">
        <v>10.5</v>
      </c>
      <c r="I87" s="5">
        <v>11.391999999999999</v>
      </c>
      <c r="J87" s="5"/>
      <c r="K87" s="5"/>
      <c r="L87" s="5">
        <v>16.303000000000001</v>
      </c>
      <c r="M87" s="5">
        <v>18.815000000000001</v>
      </c>
      <c r="N87" s="276">
        <v>19.984999999999999</v>
      </c>
      <c r="Q87" s="5"/>
      <c r="R87" s="5"/>
      <c r="S87" s="5"/>
      <c r="X87" s="292"/>
      <c r="Y87" s="120"/>
    </row>
    <row r="88" spans="2:25" s="9" customFormat="1" x14ac:dyDescent="0.25">
      <c r="B88" s="247" t="s">
        <v>256</v>
      </c>
      <c r="C88" s="243"/>
      <c r="D88" s="243"/>
      <c r="E88" s="243"/>
      <c r="F88" s="5"/>
      <c r="G88" s="5"/>
      <c r="H88" s="5">
        <v>6.8000000000000005E-2</v>
      </c>
      <c r="I88" s="5">
        <v>1.121</v>
      </c>
      <c r="J88" s="5"/>
      <c r="K88" s="5"/>
      <c r="L88" s="5">
        <v>2.048</v>
      </c>
      <c r="M88" s="5">
        <v>-1.5149999999999999</v>
      </c>
      <c r="N88" s="276">
        <v>0.39500000000000002</v>
      </c>
      <c r="Q88" s="5"/>
      <c r="R88" s="5"/>
      <c r="S88" s="5"/>
      <c r="X88" s="292"/>
      <c r="Y88" s="120"/>
    </row>
    <row r="89" spans="2:25" s="9" customFormat="1" x14ac:dyDescent="0.25">
      <c r="B89" s="247" t="s">
        <v>258</v>
      </c>
      <c r="C89" s="243"/>
      <c r="D89" s="243"/>
      <c r="E89" s="243"/>
      <c r="F89" s="5"/>
      <c r="G89" s="5"/>
      <c r="H89" s="5">
        <v>0</v>
      </c>
      <c r="I89" s="5">
        <v>0</v>
      </c>
      <c r="J89" s="5"/>
      <c r="K89" s="5"/>
      <c r="L89" s="5">
        <v>0.311</v>
      </c>
      <c r="M89" s="5">
        <v>0.318</v>
      </c>
      <c r="N89" s="276">
        <v>0.32100000000000001</v>
      </c>
      <c r="Q89" s="5"/>
      <c r="R89" s="5"/>
      <c r="S89" s="5"/>
      <c r="X89" s="292"/>
      <c r="Y89" s="120"/>
    </row>
    <row r="90" spans="2:25" s="9" customFormat="1" x14ac:dyDescent="0.25">
      <c r="B90" s="247" t="s">
        <v>259</v>
      </c>
      <c r="C90" s="243"/>
      <c r="D90" s="243"/>
      <c r="E90" s="243"/>
      <c r="F90" s="5"/>
      <c r="G90" s="5"/>
      <c r="H90" s="9">
        <f>SUM(H91:H100)</f>
        <v>224.16400000000004</v>
      </c>
      <c r="I90" s="9">
        <f>SUM(I91:I100)</f>
        <v>137.49499999999998</v>
      </c>
      <c r="J90" s="5"/>
      <c r="K90" s="5"/>
      <c r="L90" s="9">
        <f>SUM(L91:L100)</f>
        <v>11.184999999999997</v>
      </c>
      <c r="M90" s="9">
        <f>SUM(M91:M100)</f>
        <v>156.023</v>
      </c>
      <c r="N90" s="9">
        <f>SUM(N91:N100)</f>
        <v>207.78100000000003</v>
      </c>
      <c r="Q90" s="5"/>
      <c r="R90" s="5"/>
      <c r="S90" s="5"/>
      <c r="X90" s="292"/>
      <c r="Y90" s="120"/>
    </row>
    <row r="91" spans="2:25" s="9" customFormat="1" x14ac:dyDescent="0.25">
      <c r="B91" s="242" t="s">
        <v>37</v>
      </c>
      <c r="C91" s="243"/>
      <c r="D91" s="243"/>
      <c r="E91" s="243"/>
      <c r="F91" s="5"/>
      <c r="G91" s="5"/>
      <c r="H91" s="5">
        <v>16.704000000000001</v>
      </c>
      <c r="I91" s="5">
        <v>47.125999999999998</v>
      </c>
      <c r="J91" s="5"/>
      <c r="K91" s="5"/>
      <c r="L91" s="5">
        <v>-9.8650000000000002</v>
      </c>
      <c r="M91" s="5">
        <v>1.63</v>
      </c>
      <c r="N91" s="304">
        <v>-192.42699999999999</v>
      </c>
      <c r="Q91" s="5"/>
      <c r="R91" s="5"/>
      <c r="S91" s="5"/>
      <c r="X91" s="292"/>
      <c r="Y91" s="120"/>
    </row>
    <row r="92" spans="2:25" s="9" customFormat="1" x14ac:dyDescent="0.25">
      <c r="B92" s="242" t="s">
        <v>46</v>
      </c>
      <c r="C92" s="243"/>
      <c r="D92" s="243"/>
      <c r="E92" s="243"/>
      <c r="F92" s="5"/>
      <c r="G92" s="5"/>
      <c r="H92" s="5">
        <v>3.0950000000000002</v>
      </c>
      <c r="I92" s="5">
        <v>-2.5430000000000001</v>
      </c>
      <c r="J92" s="5"/>
      <c r="K92" s="5"/>
      <c r="L92" s="5">
        <v>-6.867</v>
      </c>
      <c r="M92" s="5">
        <v>2.3039999999999998</v>
      </c>
      <c r="N92" s="276">
        <v>18.632999999999999</v>
      </c>
      <c r="Q92" s="5"/>
      <c r="R92" s="5"/>
      <c r="S92" s="5"/>
      <c r="X92" s="292"/>
      <c r="Y92" s="120"/>
    </row>
    <row r="93" spans="2:25" s="9" customFormat="1" x14ac:dyDescent="0.25">
      <c r="B93" s="242" t="s">
        <v>274</v>
      </c>
      <c r="C93" s="243"/>
      <c r="D93" s="243"/>
      <c r="E93" s="243"/>
      <c r="F93" s="5"/>
      <c r="G93" s="5"/>
      <c r="H93" s="5">
        <v>-16.297000000000001</v>
      </c>
      <c r="I93" s="5">
        <v>7.7629999999999999</v>
      </c>
      <c r="J93" s="5"/>
      <c r="K93" s="5"/>
      <c r="L93" s="5">
        <v>-15.983000000000001</v>
      </c>
      <c r="M93" s="5">
        <v>-15.680999999999999</v>
      </c>
      <c r="N93" s="276">
        <v>8.8350000000000009</v>
      </c>
      <c r="Q93" s="5"/>
      <c r="R93" s="5"/>
      <c r="S93" s="5"/>
      <c r="X93" s="292"/>
      <c r="Y93" s="120"/>
    </row>
    <row r="94" spans="2:25" s="9" customFormat="1" x14ac:dyDescent="0.25">
      <c r="B94" s="242" t="s">
        <v>275</v>
      </c>
      <c r="C94" s="243"/>
      <c r="D94" s="243"/>
      <c r="E94" s="243"/>
      <c r="F94" s="5"/>
      <c r="G94" s="5"/>
      <c r="H94" s="5">
        <v>-3.0750000000000002</v>
      </c>
      <c r="I94" s="5">
        <v>2.2879999999999998</v>
      </c>
      <c r="J94" s="5"/>
      <c r="K94" s="5"/>
      <c r="L94" s="5">
        <v>1.1990000000000001</v>
      </c>
      <c r="M94" s="9">
        <v>-0.26600000000000001</v>
      </c>
      <c r="N94" s="276">
        <v>-1.7190000000000001</v>
      </c>
      <c r="Q94" s="5"/>
      <c r="R94" s="5"/>
      <c r="S94" s="5"/>
      <c r="X94" s="292"/>
      <c r="Y94" s="120"/>
    </row>
    <row r="95" spans="2:25" s="9" customFormat="1" x14ac:dyDescent="0.25">
      <c r="B95" s="242" t="s">
        <v>48</v>
      </c>
      <c r="C95" s="243"/>
      <c r="D95" s="243"/>
      <c r="E95" s="243"/>
      <c r="F95" s="5"/>
      <c r="G95" s="5"/>
      <c r="H95" s="5">
        <v>6.2779999999999996</v>
      </c>
      <c r="I95" s="5">
        <v>27.140999999999998</v>
      </c>
      <c r="J95" s="5"/>
      <c r="K95" s="5"/>
      <c r="L95" s="5">
        <v>-2.6240000000000001</v>
      </c>
      <c r="M95" s="5">
        <v>21.175000000000001</v>
      </c>
      <c r="N95" s="276">
        <v>63.337000000000003</v>
      </c>
      <c r="Q95" s="5"/>
      <c r="R95" s="5"/>
      <c r="S95" s="5"/>
      <c r="X95" s="292"/>
      <c r="Y95" s="120"/>
    </row>
    <row r="96" spans="2:25" s="9" customFormat="1" x14ac:dyDescent="0.25">
      <c r="B96" s="242" t="s">
        <v>276</v>
      </c>
      <c r="C96" s="243"/>
      <c r="D96" s="243"/>
      <c r="E96" s="243"/>
      <c r="F96" s="5"/>
      <c r="G96" s="5"/>
      <c r="H96" s="5">
        <v>57.856000000000002</v>
      </c>
      <c r="I96" s="5">
        <v>-36.030999999999999</v>
      </c>
      <c r="J96" s="5"/>
      <c r="K96" s="5"/>
      <c r="L96" s="5">
        <v>6.4059999999999997</v>
      </c>
      <c r="M96" s="5">
        <v>2.6419999999999999</v>
      </c>
      <c r="N96" s="276">
        <v>12.577999999999999</v>
      </c>
      <c r="Q96" s="5"/>
      <c r="R96" s="5"/>
      <c r="S96" s="5"/>
      <c r="X96" s="292"/>
      <c r="Y96" s="120"/>
    </row>
    <row r="97" spans="2:25" s="9" customFormat="1" x14ac:dyDescent="0.25">
      <c r="B97" s="242" t="s">
        <v>277</v>
      </c>
      <c r="C97" s="243"/>
      <c r="D97" s="243"/>
      <c r="E97" s="243"/>
      <c r="F97" s="5"/>
      <c r="G97" s="5"/>
      <c r="H97" s="5">
        <v>0.28000000000000003</v>
      </c>
      <c r="I97" s="5">
        <v>-1.6060000000000001</v>
      </c>
      <c r="J97" s="5"/>
      <c r="K97" s="5"/>
      <c r="L97" s="5">
        <v>-0.57899999999999996</v>
      </c>
      <c r="M97" s="9">
        <v>0</v>
      </c>
      <c r="N97" s="276">
        <v>10.738</v>
      </c>
      <c r="Q97" s="5"/>
      <c r="R97" s="5"/>
      <c r="S97" s="5"/>
      <c r="X97" s="292"/>
      <c r="Y97" s="120"/>
    </row>
    <row r="98" spans="2:25" s="9" customFormat="1" x14ac:dyDescent="0.25">
      <c r="B98" s="242" t="s">
        <v>278</v>
      </c>
      <c r="C98" s="243"/>
      <c r="D98" s="243"/>
      <c r="E98" s="243"/>
      <c r="F98" s="5"/>
      <c r="G98" s="5"/>
      <c r="H98" s="5">
        <v>-10.573</v>
      </c>
      <c r="I98" s="5">
        <v>-11.413</v>
      </c>
      <c r="J98" s="5"/>
      <c r="K98" s="5"/>
      <c r="L98" s="5">
        <v>-10.021000000000001</v>
      </c>
      <c r="M98" s="5">
        <v>-11.259</v>
      </c>
      <c r="N98" s="276">
        <v>14.885999999999999</v>
      </c>
      <c r="Q98" s="5"/>
      <c r="R98" s="5"/>
      <c r="S98" s="5"/>
      <c r="X98" s="292"/>
      <c r="Y98" s="120"/>
    </row>
    <row r="99" spans="2:25" s="9" customFormat="1" x14ac:dyDescent="0.25">
      <c r="B99" s="242" t="s">
        <v>279</v>
      </c>
      <c r="C99" s="243"/>
      <c r="D99" s="243"/>
      <c r="E99" s="243"/>
      <c r="F99" s="5"/>
      <c r="G99" s="5"/>
      <c r="H99" s="5">
        <v>215.49700000000001</v>
      </c>
      <c r="I99" s="5">
        <v>131.43899999999999</v>
      </c>
      <c r="J99" s="5"/>
      <c r="K99" s="5"/>
      <c r="L99" s="5">
        <v>52.14</v>
      </c>
      <c r="M99" s="5">
        <v>187.99100000000001</v>
      </c>
      <c r="N99" s="276">
        <v>325.45</v>
      </c>
      <c r="Q99" s="5"/>
      <c r="R99" s="5"/>
      <c r="S99" s="5"/>
      <c r="X99" s="292"/>
      <c r="Y99" s="120"/>
    </row>
    <row r="100" spans="2:25" s="9" customFormat="1" x14ac:dyDescent="0.25">
      <c r="B100" s="242" t="s">
        <v>280</v>
      </c>
      <c r="C100" s="243"/>
      <c r="D100" s="243"/>
      <c r="E100" s="243"/>
      <c r="F100" s="5"/>
      <c r="G100" s="5"/>
      <c r="H100" s="5">
        <v>-45.600999999999999</v>
      </c>
      <c r="I100" s="5">
        <v>-26.669</v>
      </c>
      <c r="J100" s="5"/>
      <c r="K100" s="5"/>
      <c r="L100" s="5">
        <v>-2.621</v>
      </c>
      <c r="M100" s="5">
        <v>-32.512999999999998</v>
      </c>
      <c r="N100" s="276">
        <v>-52.53</v>
      </c>
      <c r="Q100" s="5"/>
      <c r="R100" s="5"/>
      <c r="S100" s="5"/>
      <c r="X100" s="292"/>
      <c r="Y100" s="120"/>
    </row>
    <row r="101" spans="2:25" s="3" customFormat="1" x14ac:dyDescent="0.25">
      <c r="B101" s="3" t="s">
        <v>260</v>
      </c>
      <c r="C101" s="248"/>
      <c r="D101" s="248"/>
      <c r="E101" s="248"/>
      <c r="F101" s="4"/>
      <c r="G101" s="4"/>
      <c r="H101" s="4">
        <f>H82+SUM(H85:H90)</f>
        <v>191.25100000000003</v>
      </c>
      <c r="I101" s="4">
        <f>I82+SUM(I85:I90)</f>
        <v>181.166</v>
      </c>
      <c r="J101" s="4"/>
      <c r="K101" s="4"/>
      <c r="L101" s="4">
        <f>L82+SUM(L85:L90)</f>
        <v>26.497000000000014</v>
      </c>
      <c r="M101" s="4">
        <f>M82+SUM(M85:M90)</f>
        <v>67.150000000000034</v>
      </c>
      <c r="N101" s="4">
        <f>N82+SUM(N85:N90)</f>
        <v>440.476</v>
      </c>
      <c r="Q101" s="4"/>
      <c r="R101" s="4"/>
      <c r="S101" s="4"/>
      <c r="X101" s="289"/>
      <c r="Y101" s="119"/>
    </row>
    <row r="102" spans="2:25" s="9" customFormat="1" x14ac:dyDescent="0.25">
      <c r="B102" s="245"/>
      <c r="C102" s="243"/>
      <c r="D102" s="243"/>
      <c r="E102" s="243"/>
      <c r="F102" s="5"/>
      <c r="G102" s="5"/>
      <c r="H102" s="5"/>
      <c r="I102" s="5"/>
      <c r="J102" s="5"/>
      <c r="K102" s="5"/>
      <c r="L102" s="5"/>
      <c r="M102" s="5"/>
      <c r="N102" s="276"/>
      <c r="Q102" s="5"/>
      <c r="R102" s="5"/>
      <c r="S102" s="5"/>
      <c r="X102" s="292"/>
      <c r="Y102" s="120"/>
    </row>
    <row r="103" spans="2:25" s="9" customFormat="1" x14ac:dyDescent="0.25">
      <c r="B103" s="247" t="s">
        <v>261</v>
      </c>
      <c r="C103" s="243"/>
      <c r="D103" s="243"/>
      <c r="E103" s="243"/>
      <c r="F103" s="5"/>
      <c r="G103" s="5"/>
      <c r="H103" s="5">
        <v>-23.234999999999999</v>
      </c>
      <c r="I103" s="5">
        <v>-2.9620000000000002</v>
      </c>
      <c r="J103" s="5"/>
      <c r="K103" s="5"/>
      <c r="L103" s="5">
        <v>-83.811999999999998</v>
      </c>
      <c r="M103" s="5">
        <v>-133.35599999999999</v>
      </c>
      <c r="N103" s="276">
        <v>-157.20500000000001</v>
      </c>
      <c r="Q103" s="5"/>
      <c r="R103" s="5"/>
      <c r="S103" s="5"/>
      <c r="X103" s="292"/>
      <c r="Y103" s="120"/>
    </row>
    <row r="104" spans="2:25" s="9" customFormat="1" x14ac:dyDescent="0.25">
      <c r="B104" s="247" t="s">
        <v>262</v>
      </c>
      <c r="C104" s="243"/>
      <c r="D104" s="243"/>
      <c r="E104" s="243"/>
      <c r="F104" s="5"/>
      <c r="G104" s="5"/>
      <c r="H104" s="5">
        <v>0</v>
      </c>
      <c r="I104" s="5">
        <v>-45.692</v>
      </c>
      <c r="J104" s="5"/>
      <c r="K104" s="5"/>
      <c r="L104" s="5">
        <v>-6.165</v>
      </c>
      <c r="M104" s="5">
        <v>0</v>
      </c>
      <c r="N104" s="276">
        <v>-7.2229999999999999</v>
      </c>
      <c r="Q104" s="5"/>
      <c r="R104" s="5"/>
      <c r="S104" s="5"/>
      <c r="X104" s="292"/>
      <c r="Y104" s="120"/>
    </row>
    <row r="105" spans="2:25" s="9" customFormat="1" x14ac:dyDescent="0.25">
      <c r="B105" s="247" t="s">
        <v>263</v>
      </c>
      <c r="C105" s="243"/>
      <c r="D105" s="243"/>
      <c r="E105" s="243"/>
      <c r="F105" s="5"/>
      <c r="G105" s="5"/>
      <c r="H105" s="5">
        <v>0</v>
      </c>
      <c r="I105" s="5">
        <v>-7.6</v>
      </c>
      <c r="J105" s="5"/>
      <c r="K105" s="5"/>
      <c r="L105" s="5">
        <v>0</v>
      </c>
      <c r="M105" s="5">
        <v>-1.5</v>
      </c>
      <c r="N105" s="276">
        <v>0</v>
      </c>
      <c r="Q105" s="5"/>
      <c r="R105" s="5"/>
      <c r="S105" s="5"/>
      <c r="X105" s="292"/>
      <c r="Y105" s="120"/>
    </row>
    <row r="106" spans="2:25" s="3" customFormat="1" x14ac:dyDescent="0.25">
      <c r="B106" s="3" t="s">
        <v>264</v>
      </c>
      <c r="C106" s="248"/>
      <c r="D106" s="248"/>
      <c r="E106" s="248"/>
      <c r="F106" s="4"/>
      <c r="G106" s="4"/>
      <c r="H106" s="4">
        <f>SUM(H103:H105)</f>
        <v>-23.234999999999999</v>
      </c>
      <c r="I106" s="4">
        <f>SUM(I103:I105)</f>
        <v>-56.254000000000005</v>
      </c>
      <c r="J106" s="4"/>
      <c r="K106" s="4"/>
      <c r="L106" s="4">
        <f>SUM(L103:L105)</f>
        <v>-89.977000000000004</v>
      </c>
      <c r="M106" s="4">
        <f>SUM(M103:M105)</f>
        <v>-134.85599999999999</v>
      </c>
      <c r="N106" s="4">
        <f>SUM(N103:N105)</f>
        <v>-164.42800000000003</v>
      </c>
      <c r="Q106" s="4"/>
      <c r="R106" s="4"/>
      <c r="S106" s="4"/>
      <c r="X106" s="289"/>
      <c r="Y106" s="119"/>
    </row>
    <row r="107" spans="2:25" s="9" customFormat="1" x14ac:dyDescent="0.25">
      <c r="B107" s="245"/>
      <c r="C107" s="243"/>
      <c r="D107" s="243"/>
      <c r="E107" s="243"/>
      <c r="F107" s="5"/>
      <c r="G107" s="5"/>
      <c r="H107" s="5"/>
      <c r="I107" s="5"/>
      <c r="J107" s="5"/>
      <c r="K107" s="5"/>
      <c r="L107" s="5"/>
      <c r="M107" s="5"/>
      <c r="N107" s="276"/>
      <c r="Q107" s="5"/>
      <c r="R107" s="5"/>
      <c r="S107" s="5"/>
      <c r="X107" s="292"/>
      <c r="Y107" s="120"/>
    </row>
    <row r="108" spans="2:25" s="9" customFormat="1" x14ac:dyDescent="0.25">
      <c r="B108" s="247" t="s">
        <v>265</v>
      </c>
      <c r="C108" s="243"/>
      <c r="D108" s="243"/>
      <c r="E108" s="243"/>
      <c r="F108" s="5"/>
      <c r="G108" s="5"/>
      <c r="H108" s="5">
        <v>11.667999999999999</v>
      </c>
      <c r="I108" s="5">
        <v>20.388999999999999</v>
      </c>
      <c r="J108" s="5"/>
      <c r="K108" s="5"/>
      <c r="L108" s="5">
        <v>5.548</v>
      </c>
      <c r="M108" s="5">
        <v>12.83</v>
      </c>
      <c r="N108" s="276">
        <v>3.0459999999999998</v>
      </c>
      <c r="Q108" s="5"/>
      <c r="R108" s="5"/>
      <c r="S108" s="5"/>
      <c r="X108" s="292"/>
      <c r="Y108" s="120"/>
    </row>
    <row r="109" spans="2:25" s="9" customFormat="1" x14ac:dyDescent="0.25">
      <c r="B109" s="247" t="s">
        <v>266</v>
      </c>
      <c r="C109" s="243"/>
      <c r="D109" s="243"/>
      <c r="E109" s="243"/>
      <c r="F109" s="5"/>
      <c r="G109" s="5"/>
      <c r="H109" s="5">
        <v>0</v>
      </c>
      <c r="I109" s="5">
        <v>0</v>
      </c>
      <c r="J109" s="5"/>
      <c r="K109" s="5"/>
      <c r="L109" s="5">
        <v>-0.42</v>
      </c>
      <c r="M109" s="5">
        <v>0</v>
      </c>
      <c r="N109" s="276">
        <v>-1.236</v>
      </c>
      <c r="Q109" s="5"/>
      <c r="R109" s="5"/>
      <c r="S109" s="5"/>
      <c r="X109" s="292"/>
      <c r="Y109" s="120"/>
    </row>
    <row r="110" spans="2:25" s="9" customFormat="1" x14ac:dyDescent="0.25">
      <c r="B110" s="247" t="s">
        <v>267</v>
      </c>
      <c r="C110" s="243"/>
      <c r="D110" s="243"/>
      <c r="E110" s="243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276">
        <v>0</v>
      </c>
      <c r="Q110" s="5"/>
      <c r="R110" s="5"/>
      <c r="S110" s="5"/>
      <c r="X110" s="292"/>
      <c r="Y110" s="120"/>
    </row>
    <row r="111" spans="2:25" s="9" customFormat="1" x14ac:dyDescent="0.25">
      <c r="B111" s="247" t="s">
        <v>268</v>
      </c>
      <c r="C111" s="243"/>
      <c r="D111" s="243"/>
      <c r="E111" s="243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276">
        <v>0</v>
      </c>
      <c r="Q111" s="5"/>
      <c r="R111" s="5"/>
      <c r="S111" s="5"/>
      <c r="X111" s="292"/>
      <c r="Y111" s="120"/>
    </row>
    <row r="112" spans="2:25" s="9" customFormat="1" x14ac:dyDescent="0.25">
      <c r="B112" s="247" t="s">
        <v>269</v>
      </c>
      <c r="C112" s="243"/>
      <c r="D112" s="243"/>
      <c r="E112" s="243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276">
        <v>0</v>
      </c>
      <c r="Q112" s="5"/>
      <c r="R112" s="5"/>
      <c r="S112" s="5"/>
      <c r="X112" s="292"/>
      <c r="Y112" s="120"/>
    </row>
    <row r="113" spans="2:25" s="9" customFormat="1" x14ac:dyDescent="0.25">
      <c r="B113" s="247" t="s">
        <v>270</v>
      </c>
      <c r="C113" s="243"/>
      <c r="D113" s="243"/>
      <c r="E113" s="243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-0.15</v>
      </c>
      <c r="N113" s="276">
        <v>0</v>
      </c>
      <c r="Q113" s="5"/>
      <c r="R113" s="5"/>
      <c r="S113" s="5"/>
      <c r="X113" s="292"/>
      <c r="Y113" s="120"/>
    </row>
    <row r="114" spans="2:25" s="3" customFormat="1" x14ac:dyDescent="0.25">
      <c r="B114" s="3" t="s">
        <v>271</v>
      </c>
      <c r="C114" s="248"/>
      <c r="D114" s="248"/>
      <c r="E114" s="248"/>
      <c r="F114" s="4"/>
      <c r="G114" s="4"/>
      <c r="H114" s="4">
        <f>SUM(H108:H113)</f>
        <v>11.667999999999999</v>
      </c>
      <c r="I114" s="4">
        <f>SUM(I108:I113)</f>
        <v>20.388999999999999</v>
      </c>
      <c r="J114" s="4"/>
      <c r="K114" s="4"/>
      <c r="L114" s="4">
        <f>SUM(L108:L113)</f>
        <v>5.1280000000000001</v>
      </c>
      <c r="M114" s="4">
        <f>SUM(M108:M113)</f>
        <v>12.68</v>
      </c>
      <c r="N114" s="4">
        <f>SUM(N108:N113)</f>
        <v>1.8099999999999998</v>
      </c>
      <c r="Q114" s="4"/>
      <c r="R114" s="4"/>
      <c r="S114" s="4"/>
      <c r="X114" s="289"/>
      <c r="Y114" s="119"/>
    </row>
    <row r="116" spans="2:25" s="241" customFormat="1" x14ac:dyDescent="0.25">
      <c r="B116" s="241" t="s">
        <v>281</v>
      </c>
      <c r="C116"/>
      <c r="D116"/>
      <c r="E116"/>
      <c r="F116" s="249"/>
      <c r="G116" s="249"/>
      <c r="H116" s="250">
        <f>H103+H105</f>
        <v>-23.234999999999999</v>
      </c>
      <c r="I116" s="250">
        <f>I103+I105</f>
        <v>-10.561999999999999</v>
      </c>
      <c r="J116" s="249"/>
      <c r="K116" s="249"/>
      <c r="L116" s="250">
        <f>L103+L105</f>
        <v>-83.811999999999998</v>
      </c>
      <c r="M116" s="250">
        <f>M103+M105</f>
        <v>-134.85599999999999</v>
      </c>
      <c r="N116" s="250">
        <f t="shared" ref="N116" si="136">N103+N105</f>
        <v>-157.20500000000001</v>
      </c>
      <c r="Q116" s="249"/>
      <c r="R116" s="249"/>
      <c r="S116" s="249"/>
      <c r="X116" s="297"/>
      <c r="Y116" s="302"/>
    </row>
    <row r="117" spans="2:25" x14ac:dyDescent="0.25">
      <c r="B117" s="241" t="s">
        <v>282</v>
      </c>
      <c r="H117" s="5">
        <f>+H101+H106</f>
        <v>168.01600000000002</v>
      </c>
      <c r="I117" s="5">
        <f>+I101+I106</f>
        <v>124.91199999999999</v>
      </c>
      <c r="L117" s="5">
        <f>+L101+L106</f>
        <v>-63.47999999999999</v>
      </c>
      <c r="M117" s="5">
        <f>+M101+M106</f>
        <v>-67.70599999999996</v>
      </c>
      <c r="N117" s="5">
        <f t="shared" ref="N117" si="137">+N101+N106</f>
        <v>276.048</v>
      </c>
    </row>
    <row r="119" spans="2:25" x14ac:dyDescent="0.25">
      <c r="B119" s="241"/>
    </row>
    <row r="120" spans="2:25" x14ac:dyDescent="0.25">
      <c r="B120" s="241"/>
    </row>
  </sheetData>
  <phoneticPr fontId="29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</hyperlinks>
  <pageMargins left="0.7" right="0.7" top="0.75" bottom="0.75" header="0.3" footer="0.3"/>
  <pageSetup paperSize="119" orientation="portrait" horizontalDpi="203" verticalDpi="203" r:id="rId4"/>
  <ignoredErrors>
    <ignoredError sqref="V3:V4 V6:V8 V9:V13 W3:W4 V17:V20 W17:W20 W6:W13 V15 W15 K75 K76 G75:J76 L75:L76 G78:L78 X3:X4 X6:X15 M75:M78 N78" formulaRange="1"/>
    <ignoredError sqref="V5 V16:W16 V14 X21 Y16:AK16 Y18 Z18:AK18 AL13:AM18 Z20:AK20 X18" formula="1"/>
    <ignoredError sqref="W5 W14 X16:X17 X5" formula="1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:R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18" width="9" style="22"/>
    <col min="19" max="19" width="9" style="215" customWidth="1"/>
    <col min="20" max="20" width="9" style="215"/>
    <col min="21" max="21" width="9" style="141"/>
    <col min="22" max="27" width="9" style="22"/>
    <col min="28" max="28" width="9" style="141"/>
    <col min="29" max="16384" width="9" style="22"/>
  </cols>
  <sheetData>
    <row r="1" spans="1:31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11" t="s">
        <v>13</v>
      </c>
      <c r="T1" s="211" t="s">
        <v>109</v>
      </c>
      <c r="U1" s="137" t="s">
        <v>15</v>
      </c>
      <c r="V1" s="25"/>
      <c r="W1" s="25"/>
      <c r="X1" s="25"/>
      <c r="Y1" s="25" t="s">
        <v>110</v>
      </c>
      <c r="Z1" s="25" t="s">
        <v>89</v>
      </c>
      <c r="AA1" s="25" t="s">
        <v>90</v>
      </c>
      <c r="AB1" s="137" t="s">
        <v>91</v>
      </c>
      <c r="AC1" s="25" t="s">
        <v>95</v>
      </c>
      <c r="AD1" s="25" t="s">
        <v>96</v>
      </c>
      <c r="AE1" s="25" t="s">
        <v>97</v>
      </c>
    </row>
    <row r="2" spans="1:31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12">
        <f>P2*(S3+1)</f>
        <v>57.622945937595496</v>
      </c>
      <c r="T2" s="212">
        <f>S2*(T3+1)</f>
        <v>61.375967883490013</v>
      </c>
      <c r="U2" s="138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38">
        <f>AVERAGE(P2:U2)</f>
        <v>58.194624113701785</v>
      </c>
    </row>
    <row r="3" spans="1:31" x14ac:dyDescent="0.25">
      <c r="B3" s="27" t="s">
        <v>73</v>
      </c>
      <c r="C3" s="24" t="s">
        <v>33</v>
      </c>
      <c r="D3" s="28">
        <f t="shared" ref="D3:Q3" si="1">D2/C2-1</f>
        <v>0.15328467153284686</v>
      </c>
      <c r="E3" s="28">
        <f t="shared" si="1"/>
        <v>8.2278481012658222E-2</v>
      </c>
      <c r="F3" s="28">
        <f t="shared" si="1"/>
        <v>7.6023391812865215E-2</v>
      </c>
      <c r="G3" s="28">
        <f t="shared" si="1"/>
        <v>3.8043478260869623E-2</v>
      </c>
      <c r="H3" s="28">
        <f t="shared" si="1"/>
        <v>0.23560209424083767</v>
      </c>
      <c r="I3" s="28">
        <f t="shared" si="1"/>
        <v>0.41525423728813537</v>
      </c>
      <c r="J3" s="28">
        <f t="shared" si="1"/>
        <v>8.3832335329341534E-2</v>
      </c>
      <c r="K3" s="28">
        <f t="shared" si="1"/>
        <v>2.4861878453038555E-2</v>
      </c>
      <c r="L3" s="28">
        <f t="shared" si="1"/>
        <v>0.13477088948787053</v>
      </c>
      <c r="M3" s="28">
        <f t="shared" si="1"/>
        <v>2.6128266033254244E-2</v>
      </c>
      <c r="N3" s="28">
        <f t="shared" si="1"/>
        <v>9.4907407407407218E-2</v>
      </c>
      <c r="O3" s="28">
        <f t="shared" si="1"/>
        <v>4.6511627906976827E-2</v>
      </c>
      <c r="P3" s="52">
        <f t="shared" si="1"/>
        <v>9.2929292929292862E-2</v>
      </c>
      <c r="Q3" s="52">
        <f t="shared" si="1"/>
        <v>-3.512014787430684E-2</v>
      </c>
      <c r="R3" s="52">
        <f t="shared" ref="R3" si="2">R2/Q2-1</f>
        <v>0.12643678160919536</v>
      </c>
      <c r="S3" s="213">
        <f>AVERAGE(M3:P3)</f>
        <v>6.5119148569232788E-2</v>
      </c>
      <c r="T3" s="213">
        <f>AVERAGE(N3:S3)</f>
        <v>6.5130685091299698E-2</v>
      </c>
      <c r="U3" s="139">
        <f>AVERAGE(O3:T3)</f>
        <v>6.0167898038615115E-2</v>
      </c>
      <c r="Y3" s="124" t="s">
        <v>33</v>
      </c>
      <c r="Z3" s="124" t="s">
        <v>33</v>
      </c>
      <c r="AA3" s="124" t="s">
        <v>33</v>
      </c>
      <c r="AB3" s="146" t="s">
        <v>33</v>
      </c>
    </row>
    <row r="4" spans="1:31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3">G2/C2-1</f>
        <v>0.39416058394160602</v>
      </c>
      <c r="H4" s="28">
        <f t="shared" si="3"/>
        <v>0.49367088607594933</v>
      </c>
      <c r="I4" s="28">
        <f t="shared" si="3"/>
        <v>0.95321637426900563</v>
      </c>
      <c r="J4" s="28">
        <f t="shared" si="3"/>
        <v>0.96739130434782639</v>
      </c>
      <c r="K4" s="32">
        <f t="shared" si="3"/>
        <v>0.94240837696335067</v>
      </c>
      <c r="L4" s="28">
        <f t="shared" si="3"/>
        <v>0.78389830508474567</v>
      </c>
      <c r="M4" s="28">
        <f t="shared" si="3"/>
        <v>0.29341317365269481</v>
      </c>
      <c r="N4" s="28">
        <f t="shared" si="3"/>
        <v>0.30662983425414336</v>
      </c>
      <c r="O4" s="32">
        <f t="shared" si="3"/>
        <v>0.33423180592991919</v>
      </c>
      <c r="P4" s="52">
        <f t="shared" si="3"/>
        <v>0.28503562945368177</v>
      </c>
      <c r="Q4" s="52">
        <f t="shared" si="3"/>
        <v>0.20833333333333326</v>
      </c>
      <c r="R4" s="52">
        <f t="shared" ref="R4" si="4">R2/N2-1</f>
        <v>0.24312896405919671</v>
      </c>
      <c r="S4" s="214">
        <f>S2/M2-1</f>
        <v>0.33386448929619195</v>
      </c>
      <c r="T4" s="214">
        <f>T2/N2-1</f>
        <v>0.29758917301247401</v>
      </c>
      <c r="U4" s="140">
        <f>U2/O2-1</f>
        <v>0.31452183557828595</v>
      </c>
      <c r="Y4" s="143" t="s">
        <v>33</v>
      </c>
      <c r="Z4" s="28">
        <f>Z2/Y2-1</f>
        <v>0.85085227272727271</v>
      </c>
      <c r="AA4" s="28">
        <f>AA2/Z2-1</f>
        <v>0.3975441289332311</v>
      </c>
      <c r="AB4" s="140">
        <f>AB2/AA2-1</f>
        <v>0.27830036493578869</v>
      </c>
    </row>
    <row r="5" spans="1:31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51"/>
      <c r="Q5" s="51"/>
      <c r="R5" s="51"/>
      <c r="Y5" s="36"/>
      <c r="Z5" s="36"/>
      <c r="AA5" s="36"/>
      <c r="AB5" s="142"/>
    </row>
    <row r="6" spans="1:31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51">
        <v>25.5</v>
      </c>
      <c r="Q6" s="51">
        <v>24.2</v>
      </c>
      <c r="R6" s="51">
        <v>26.4</v>
      </c>
      <c r="S6" s="216">
        <f>P6*(S7+1)</f>
        <v>26.685506297991481</v>
      </c>
      <c r="T6" s="216">
        <f>S6*(T7+1)</f>
        <v>27.855182041814547</v>
      </c>
      <c r="U6" s="142">
        <f>T6*(U7+1)</f>
        <v>28.934127039127436</v>
      </c>
      <c r="Y6" s="36">
        <f>AVERAGE(D6:G6)</f>
        <v>10.175000000000001</v>
      </c>
      <c r="Z6" s="36">
        <f>AVERAGE(H6:K6)</f>
        <v>17.5</v>
      </c>
      <c r="AA6" s="36">
        <f>AVERAGE(L6:O6)</f>
        <v>22.375</v>
      </c>
      <c r="AB6" s="138">
        <f>AVERAGE(P6:U6)</f>
        <v>26.595802563155576</v>
      </c>
    </row>
    <row r="7" spans="1:31" x14ac:dyDescent="0.25">
      <c r="B7" s="27" t="s">
        <v>77</v>
      </c>
      <c r="C7" s="24" t="s">
        <v>33</v>
      </c>
      <c r="D7" s="24" t="s">
        <v>33</v>
      </c>
      <c r="E7" s="28">
        <f t="shared" ref="E7:P7" si="5">E6/D6-1</f>
        <v>0.10000000000000009</v>
      </c>
      <c r="F7" s="28">
        <f t="shared" si="5"/>
        <v>9.090909090909105E-2</v>
      </c>
      <c r="G7" s="28">
        <f t="shared" si="5"/>
        <v>1.8518518518518379E-2</v>
      </c>
      <c r="H7" s="28">
        <f t="shared" si="5"/>
        <v>0.20909090909090922</v>
      </c>
      <c r="I7" s="28">
        <f t="shared" si="5"/>
        <v>0.34586466165413521</v>
      </c>
      <c r="J7" s="28">
        <f t="shared" si="5"/>
        <v>7.8212290502793325E-2</v>
      </c>
      <c r="K7" s="28">
        <f t="shared" si="5"/>
        <v>1.0362694300518172E-2</v>
      </c>
      <c r="L7" s="28">
        <f t="shared" si="5"/>
        <v>9.2307692307692424E-2</v>
      </c>
      <c r="M7" s="28">
        <f t="shared" si="5"/>
        <v>9.3896713615022609E-3</v>
      </c>
      <c r="N7" s="28">
        <f t="shared" si="5"/>
        <v>7.441860465116279E-2</v>
      </c>
      <c r="O7" s="28">
        <f t="shared" si="5"/>
        <v>2.1645021645021689E-2</v>
      </c>
      <c r="P7" s="28">
        <f t="shared" si="5"/>
        <v>8.0508474576271194E-2</v>
      </c>
      <c r="Q7" s="28">
        <f t="shared" ref="Q7:R7" si="6">Q6/P6-1</f>
        <v>-5.0980392156862786E-2</v>
      </c>
      <c r="R7" s="28">
        <f t="shared" si="6"/>
        <v>9.0909090909090828E-2</v>
      </c>
      <c r="S7" s="213">
        <f>AVERAGE(M7:P7)</f>
        <v>4.6490443058489483E-2</v>
      </c>
      <c r="T7" s="213">
        <f>AVERAGE(N7:S7)</f>
        <v>4.3831873780528864E-2</v>
      </c>
      <c r="U7" s="139">
        <f>AVERAGE(O7:T7)</f>
        <v>3.8734085302089875E-2</v>
      </c>
      <c r="Y7" s="124" t="s">
        <v>33</v>
      </c>
      <c r="Z7" s="124" t="s">
        <v>33</v>
      </c>
      <c r="AA7" s="124" t="s">
        <v>33</v>
      </c>
      <c r="AB7" s="146" t="s">
        <v>33</v>
      </c>
    </row>
    <row r="8" spans="1:31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7">H6/D6-1</f>
        <v>0.47777777777777786</v>
      </c>
      <c r="I8" s="28">
        <f t="shared" si="7"/>
        <v>0.80808080808080796</v>
      </c>
      <c r="J8" s="28">
        <f t="shared" si="7"/>
        <v>0.78703703703703698</v>
      </c>
      <c r="K8" s="32">
        <f t="shared" si="7"/>
        <v>0.77272727272727271</v>
      </c>
      <c r="L8" s="28">
        <f t="shared" si="7"/>
        <v>0.60150375939849621</v>
      </c>
      <c r="M8" s="28">
        <f t="shared" si="7"/>
        <v>0.2011173184357542</v>
      </c>
      <c r="N8" s="28">
        <f t="shared" si="7"/>
        <v>0.19689119170984459</v>
      </c>
      <c r="O8" s="32">
        <f t="shared" si="7"/>
        <v>0.2102564102564104</v>
      </c>
      <c r="P8" s="32">
        <f t="shared" si="7"/>
        <v>0.19718309859154926</v>
      </c>
      <c r="Q8" s="32">
        <f t="shared" ref="Q8:R8" si="8">Q6/M6-1</f>
        <v>0.12558139534883717</v>
      </c>
      <c r="R8" s="32">
        <f t="shared" si="8"/>
        <v>0.14285714285714279</v>
      </c>
      <c r="S8" s="214">
        <f>S6/M6-1</f>
        <v>0.24118633944146417</v>
      </c>
      <c r="T8" s="214">
        <f>T6/N6-1</f>
        <v>0.20585203644218808</v>
      </c>
      <c r="U8" s="140">
        <f>U6/O6-1</f>
        <v>0.22602233216641676</v>
      </c>
      <c r="Y8" s="143" t="s">
        <v>33</v>
      </c>
      <c r="Z8" s="28">
        <f>Z6/Y6-1</f>
        <v>0.71990171990171969</v>
      </c>
      <c r="AA8" s="28">
        <f>AA6/Z6-1</f>
        <v>0.27857142857142847</v>
      </c>
      <c r="AB8" s="140">
        <f>AB6/AA6-1</f>
        <v>0.18863922069969052</v>
      </c>
    </row>
    <row r="9" spans="1:31" x14ac:dyDescent="0.25">
      <c r="B9" s="27"/>
      <c r="C9" s="24"/>
      <c r="P9" s="51"/>
      <c r="Q9" s="51"/>
      <c r="R9" s="51"/>
      <c r="Y9" s="36"/>
      <c r="Z9" s="36"/>
      <c r="AA9" s="36"/>
      <c r="AB9" s="142"/>
    </row>
    <row r="10" spans="1:31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51">
        <v>28.3</v>
      </c>
      <c r="Q10" s="51">
        <v>27.7</v>
      </c>
      <c r="R10" s="51">
        <v>31.9</v>
      </c>
      <c r="S10" s="216">
        <f>P10*(S11+1)</f>
        <v>32.102349662858444</v>
      </c>
      <c r="T10" s="216">
        <f>S10*(T11+1)</f>
        <v>35.088030381037413</v>
      </c>
      <c r="U10" s="142">
        <f>T10*(U11+1)</f>
        <v>38.239437474614512</v>
      </c>
      <c r="Y10" s="36">
        <f>AVERAGE(D10:G10)</f>
        <v>6.9750000000000005</v>
      </c>
      <c r="Z10" s="36">
        <f>AVERAGE(H10:K10)</f>
        <v>10.8</v>
      </c>
      <c r="AA10" s="36">
        <f>AVERAGE(L10:O10)</f>
        <v>22</v>
      </c>
      <c r="AB10" s="138">
        <f>AVERAGE(P10:U10)</f>
        <v>32.221636253085059</v>
      </c>
    </row>
    <row r="11" spans="1:31" x14ac:dyDescent="0.25">
      <c r="B11" s="27" t="s">
        <v>79</v>
      </c>
      <c r="C11" s="24" t="s">
        <v>33</v>
      </c>
      <c r="D11" s="24" t="s">
        <v>33</v>
      </c>
      <c r="E11" s="28">
        <f t="shared" ref="E11:P11" si="9">E10/D10-1</f>
        <v>4.6875E-2</v>
      </c>
      <c r="F11" s="28">
        <f t="shared" si="9"/>
        <v>5.9701492537313383E-2</v>
      </c>
      <c r="G11" s="28">
        <f t="shared" si="9"/>
        <v>8.4507042253521236E-2</v>
      </c>
      <c r="H11" s="28">
        <f t="shared" si="9"/>
        <v>0.2597402597402596</v>
      </c>
      <c r="I11" s="28">
        <f t="shared" si="9"/>
        <v>-0.20618556701030921</v>
      </c>
      <c r="J11" s="28">
        <f t="shared" si="9"/>
        <v>0.2597402597402596</v>
      </c>
      <c r="K11" s="28">
        <f t="shared" si="9"/>
        <v>0.65979381443299001</v>
      </c>
      <c r="L11" s="28">
        <f t="shared" si="9"/>
        <v>6.8322981366459423E-2</v>
      </c>
      <c r="M11" s="28">
        <f t="shared" si="9"/>
        <v>0.2441860465116279</v>
      </c>
      <c r="N11" s="28">
        <f t="shared" si="9"/>
        <v>0.11214953271028039</v>
      </c>
      <c r="O11" s="28">
        <f t="shared" si="9"/>
        <v>7.5630252100840289E-2</v>
      </c>
      <c r="P11" s="28">
        <f t="shared" si="9"/>
        <v>0.10546875</v>
      </c>
      <c r="Q11" s="28">
        <f t="shared" ref="Q11:R11" si="10">Q10/P10-1</f>
        <v>-2.1201413427561877E-2</v>
      </c>
      <c r="R11" s="28">
        <f t="shared" si="10"/>
        <v>0.15162454873646203</v>
      </c>
      <c r="S11" s="213">
        <f>AVERAGE(M11:P11)</f>
        <v>0.13435864533068714</v>
      </c>
      <c r="T11" s="213">
        <f>AVERAGE(N11:S11)</f>
        <v>9.3005052575118E-2</v>
      </c>
      <c r="U11" s="139">
        <f>AVERAGE(O11:T11)</f>
        <v>8.9814305885924262E-2</v>
      </c>
      <c r="Y11" s="124" t="s">
        <v>33</v>
      </c>
      <c r="Z11" s="124" t="s">
        <v>33</v>
      </c>
      <c r="AA11" s="124" t="s">
        <v>33</v>
      </c>
      <c r="AB11" s="146" t="s">
        <v>33</v>
      </c>
    </row>
    <row r="12" spans="1:31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1">H10/D10-1</f>
        <v>0.51562499999999978</v>
      </c>
      <c r="I12" s="28">
        <f t="shared" si="11"/>
        <v>0.14925373134328357</v>
      </c>
      <c r="J12" s="28">
        <f t="shared" si="11"/>
        <v>0.36619718309859151</v>
      </c>
      <c r="K12" s="32">
        <f t="shared" si="11"/>
        <v>1.0909090909090908</v>
      </c>
      <c r="L12" s="28">
        <f t="shared" si="11"/>
        <v>0.77319587628865993</v>
      </c>
      <c r="M12" s="28">
        <f t="shared" si="11"/>
        <v>1.779220779220779</v>
      </c>
      <c r="N12" s="28">
        <f t="shared" si="11"/>
        <v>1.4536082474226806</v>
      </c>
      <c r="O12" s="32">
        <f t="shared" si="11"/>
        <v>0.59006211180124213</v>
      </c>
      <c r="P12" s="32">
        <f t="shared" si="11"/>
        <v>0.64534883720930236</v>
      </c>
      <c r="Q12" s="32">
        <f t="shared" ref="Q12:R12" si="12">Q10/M10-1</f>
        <v>0.29439252336448596</v>
      </c>
      <c r="R12" s="32">
        <f t="shared" si="12"/>
        <v>0.34033613445378141</v>
      </c>
      <c r="S12" s="214">
        <f>S10/M10-1</f>
        <v>0.50010979732983385</v>
      </c>
      <c r="T12" s="214">
        <f>T10/N10-1</f>
        <v>0.47428699079989123</v>
      </c>
      <c r="U12" s="140">
        <f>U10/O10-1</f>
        <v>0.49372802635212931</v>
      </c>
      <c r="Y12" s="143" t="s">
        <v>33</v>
      </c>
      <c r="Z12" s="28">
        <f>Z10/Y10-1</f>
        <v>0.54838709677419351</v>
      </c>
      <c r="AA12" s="28">
        <f>AA10/Z10-1</f>
        <v>1.0370370370370368</v>
      </c>
      <c r="AB12" s="140">
        <f>AB10/AA10-1</f>
        <v>0.46461982968568449</v>
      </c>
    </row>
    <row r="13" spans="1:31" x14ac:dyDescent="0.25">
      <c r="B13" s="27"/>
      <c r="P13" s="51"/>
      <c r="Q13" s="51"/>
      <c r="R13" s="51"/>
      <c r="Y13" s="36"/>
      <c r="Z13" s="36"/>
      <c r="AA13" s="36"/>
    </row>
    <row r="14" spans="1:31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217">
        <f>P14*(S15+1)</f>
        <v>12850.341134695112</v>
      </c>
      <c r="T14" s="217">
        <f>S14*(T15+1)</f>
        <v>13716.206720264463</v>
      </c>
      <c r="U14" s="144">
        <f>T14*(U15+1)</f>
        <v>14454.995400896689</v>
      </c>
      <c r="Y14" s="125">
        <f>AVERAGE(D14:G14)</f>
        <v>3413.25</v>
      </c>
      <c r="Z14" s="125">
        <f>AVERAGE(K14:N14)</f>
        <v>9756.5</v>
      </c>
      <c r="AA14" s="125">
        <f>AVERAGE(L14:O14)</f>
        <v>10353.5</v>
      </c>
      <c r="AB14" s="147">
        <f>AVERAGE(P14:U14)</f>
        <v>13076.950542642711</v>
      </c>
    </row>
    <row r="15" spans="1:31" x14ac:dyDescent="0.25">
      <c r="B15" s="27" t="s">
        <v>84</v>
      </c>
      <c r="C15" s="24" t="s">
        <v>33</v>
      </c>
      <c r="D15" s="28">
        <f t="shared" ref="D15:P15" si="13">D14/C14-1</f>
        <v>0.17549407114624516</v>
      </c>
      <c r="E15" s="28">
        <f t="shared" si="13"/>
        <v>9.2131809011432475E-2</v>
      </c>
      <c r="F15" s="28">
        <f t="shared" si="13"/>
        <v>0.14839901477832518</v>
      </c>
      <c r="G15" s="28">
        <f t="shared" si="13"/>
        <v>-7.7747989276139018E-3</v>
      </c>
      <c r="H15" s="28">
        <f t="shared" si="13"/>
        <v>0.31721156444204279</v>
      </c>
      <c r="I15" s="28">
        <f t="shared" si="13"/>
        <v>0.76123076923076916</v>
      </c>
      <c r="J15" s="28">
        <f t="shared" si="13"/>
        <v>1.455858374097363E-2</v>
      </c>
      <c r="K15" s="28">
        <f t="shared" si="13"/>
        <v>-3.2258064516129004E-2</v>
      </c>
      <c r="L15" s="28">
        <f t="shared" si="13"/>
        <v>0.14756820877817312</v>
      </c>
      <c r="M15" s="28">
        <f t="shared" si="13"/>
        <v>6.6156708703741796E-3</v>
      </c>
      <c r="N15" s="28">
        <f t="shared" si="13"/>
        <v>0.14849044978435</v>
      </c>
      <c r="O15" s="28">
        <f t="shared" si="13"/>
        <v>-3.272532188841204E-2</v>
      </c>
      <c r="P15" s="28">
        <f t="shared" si="13"/>
        <v>0.12000000000000011</v>
      </c>
      <c r="Q15" s="28">
        <f t="shared" ref="Q15" si="14">Q14/P14-1</f>
        <v>-1.5859810368961891E-2</v>
      </c>
      <c r="R15" s="28">
        <f t="shared" ref="R15" si="15">R14/Q14-1</f>
        <v>0.12378396511237844</v>
      </c>
      <c r="S15" s="213">
        <f>AVERAGE(M15:P15)</f>
        <v>6.0595199691578061E-2</v>
      </c>
      <c r="T15" s="213">
        <f>AVERAGE(N15:S15)</f>
        <v>6.738074705515544E-2</v>
      </c>
      <c r="U15" s="139">
        <f>AVERAGE(O15:T15)</f>
        <v>5.3862463266956352E-2</v>
      </c>
      <c r="Y15" s="124" t="s">
        <v>33</v>
      </c>
      <c r="Z15" s="124" t="s">
        <v>33</v>
      </c>
      <c r="AA15" s="124" t="s">
        <v>33</v>
      </c>
      <c r="AB15" s="146" t="s">
        <v>33</v>
      </c>
    </row>
    <row r="16" spans="1:31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16">G14/C14-1</f>
        <v>0.46284584980237153</v>
      </c>
      <c r="H16" s="28">
        <f t="shared" si="16"/>
        <v>0.63920645595158043</v>
      </c>
      <c r="I16" s="28">
        <f t="shared" si="16"/>
        <v>1.6434729064039408</v>
      </c>
      <c r="J16" s="28">
        <f t="shared" si="16"/>
        <v>1.3353887399463806</v>
      </c>
      <c r="K16" s="32">
        <f t="shared" si="16"/>
        <v>1.2777627668197784</v>
      </c>
      <c r="L16" s="28">
        <f t="shared" si="16"/>
        <v>0.98441025641025637</v>
      </c>
      <c r="M16" s="28">
        <f t="shared" si="16"/>
        <v>0.13417190775681331</v>
      </c>
      <c r="N16" s="28">
        <f t="shared" si="16"/>
        <v>0.28389392721845952</v>
      </c>
      <c r="O16" s="32">
        <f t="shared" si="16"/>
        <v>0.28327402135231328</v>
      </c>
      <c r="P16" s="126">
        <f t="shared" si="16"/>
        <v>0.25244573082489175</v>
      </c>
      <c r="Q16" s="126">
        <f t="shared" ref="Q16" si="17">Q14/M14-1</f>
        <v>0.22448141302115432</v>
      </c>
      <c r="R16" s="126">
        <f t="shared" ref="R16" si="18">R14/N14-1</f>
        <v>0.198140200286123</v>
      </c>
      <c r="S16" s="218">
        <f>S14/M14-1</f>
        <v>0.3196078388473107</v>
      </c>
      <c r="T16" s="218">
        <f>T14/N14-1</f>
        <v>0.22641333335697977</v>
      </c>
      <c r="U16" s="145">
        <f>U14/O14-1</f>
        <v>0.33619850257872885</v>
      </c>
      <c r="Y16" s="143" t="s">
        <v>33</v>
      </c>
      <c r="Z16" s="28">
        <f>Z14/Y14-1</f>
        <v>1.8584193950047609</v>
      </c>
      <c r="AA16" s="28">
        <f>AA14/Z14-1</f>
        <v>6.1189975913493511E-2</v>
      </c>
      <c r="AB16" s="140">
        <f>AB14/AA14-1</f>
        <v>0.26304636525259206</v>
      </c>
    </row>
    <row r="17" spans="1:27" x14ac:dyDescent="0.25">
      <c r="P17" s="51"/>
      <c r="Q17" s="51"/>
      <c r="R17" s="51"/>
    </row>
    <row r="18" spans="1:27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51">
        <v>11.67</v>
      </c>
      <c r="Q18" s="51">
        <v>12.25</v>
      </c>
      <c r="R18" s="51">
        <v>11.94</v>
      </c>
      <c r="S18" s="219">
        <f>AVERAGE(M18:P18)</f>
        <v>14.032500000000001</v>
      </c>
      <c r="T18" s="219">
        <f>AVERAGE(N18:S18)</f>
        <v>13.157083333333333</v>
      </c>
      <c r="U18" s="152">
        <f>AVERAGE(O18:T18)</f>
        <v>13.101597222222223</v>
      </c>
      <c r="AA18" s="125"/>
    </row>
    <row r="19" spans="1:27" x14ac:dyDescent="0.25">
      <c r="A19" s="30" t="s">
        <v>175</v>
      </c>
      <c r="B19" s="150" t="s">
        <v>174</v>
      </c>
      <c r="C19" s="151">
        <f t="shared" ref="C19:O19" si="19">C2*C18</f>
        <v>143.02799999999999</v>
      </c>
      <c r="D19" s="151">
        <f t="shared" si="19"/>
        <v>141.88400000000001</v>
      </c>
      <c r="E19" s="151">
        <f t="shared" si="19"/>
        <v>150.13800000000001</v>
      </c>
      <c r="F19" s="151">
        <f t="shared" si="19"/>
        <v>165.6</v>
      </c>
      <c r="G19" s="151">
        <f t="shared" si="19"/>
        <v>236.267</v>
      </c>
      <c r="H19" s="151">
        <f t="shared" si="19"/>
        <v>249.68800000000002</v>
      </c>
      <c r="I19" s="151">
        <f t="shared" si="19"/>
        <v>494.654</v>
      </c>
      <c r="J19" s="151">
        <f t="shared" si="19"/>
        <v>497.02600000000007</v>
      </c>
      <c r="K19" s="151">
        <f t="shared" si="19"/>
        <v>641.83000000000004</v>
      </c>
      <c r="L19" s="151">
        <f t="shared" si="19"/>
        <v>651.70800000000008</v>
      </c>
      <c r="M19" s="151">
        <f t="shared" si="19"/>
        <v>665.7120000000001</v>
      </c>
      <c r="N19" s="151">
        <f t="shared" si="19"/>
        <v>638.077</v>
      </c>
      <c r="O19" s="151">
        <f t="shared" si="19"/>
        <v>770.22</v>
      </c>
      <c r="P19" s="151">
        <f>P2*P18</f>
        <v>631.34699999999998</v>
      </c>
      <c r="Q19" s="151">
        <f>Q2*Q18</f>
        <v>639.45000000000005</v>
      </c>
      <c r="R19" s="151">
        <f t="shared" ref="R19" si="20">R2*R18</f>
        <v>702.07199999999989</v>
      </c>
      <c r="S19" s="219">
        <f>S2*S18</f>
        <v>808.59398886930887</v>
      </c>
      <c r="T19" s="219">
        <f>T2*T18</f>
        <v>807.52872410706834</v>
      </c>
      <c r="U19" s="152">
        <f>U2*U18</f>
        <v>852.5056136633649</v>
      </c>
      <c r="AA19" s="125"/>
    </row>
    <row r="20" spans="1:27" x14ac:dyDescent="0.25">
      <c r="A20" s="30"/>
      <c r="B20" s="186" t="s">
        <v>202</v>
      </c>
      <c r="C20" s="24" t="s">
        <v>33</v>
      </c>
      <c r="D20" s="187">
        <f t="shared" ref="D20:P20" si="21">D18/C18-1</f>
        <v>-0.13984674329501912</v>
      </c>
      <c r="E20" s="187">
        <f t="shared" si="21"/>
        <v>-2.2271714922049157E-2</v>
      </c>
      <c r="F20" s="187">
        <f t="shared" si="21"/>
        <v>2.5056947608200542E-2</v>
      </c>
      <c r="G20" s="187">
        <f t="shared" si="21"/>
        <v>0.37444444444444436</v>
      </c>
      <c r="H20" s="187">
        <f t="shared" si="21"/>
        <v>-0.14470493128536777</v>
      </c>
      <c r="I20" s="187">
        <f t="shared" si="21"/>
        <v>0.39981096408317573</v>
      </c>
      <c r="J20" s="187">
        <f t="shared" si="21"/>
        <v>-7.2923700202565889E-2</v>
      </c>
      <c r="K20" s="187">
        <f t="shared" si="21"/>
        <v>0.26001456664238898</v>
      </c>
      <c r="L20" s="187">
        <f t="shared" si="21"/>
        <v>-0.10520231213872833</v>
      </c>
      <c r="M20" s="187">
        <f t="shared" si="21"/>
        <v>-4.5219638242893767E-3</v>
      </c>
      <c r="N20" s="187">
        <f t="shared" si="21"/>
        <v>-0.12459441920830627</v>
      </c>
      <c r="O20" s="187">
        <f t="shared" si="21"/>
        <v>0.15344699777613058</v>
      </c>
      <c r="P20" s="187">
        <f t="shared" si="21"/>
        <v>-0.25</v>
      </c>
      <c r="Q20" s="187">
        <f>Q18/P18-1</f>
        <v>4.9700085689802886E-2</v>
      </c>
      <c r="R20" s="187">
        <f t="shared" ref="R20" si="22">R18/Q18-1</f>
        <v>-2.5306122448979673E-2</v>
      </c>
      <c r="S20" s="219"/>
      <c r="T20" s="219"/>
      <c r="U20" s="152"/>
      <c r="AA20" s="125"/>
    </row>
    <row r="21" spans="1:27" x14ac:dyDescent="0.25">
      <c r="A21" s="30"/>
      <c r="B21" s="186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87">
        <f t="shared" ref="G21:P21" si="23">G18/C18-1</f>
        <v>0.18486590038314166</v>
      </c>
      <c r="H21" s="187">
        <f t="shared" si="23"/>
        <v>0.17817371937639193</v>
      </c>
      <c r="I21" s="187">
        <f t="shared" si="23"/>
        <v>0.68678815489749456</v>
      </c>
      <c r="J21" s="187">
        <f t="shared" si="23"/>
        <v>0.52555555555555555</v>
      </c>
      <c r="K21" s="187">
        <f t="shared" si="23"/>
        <v>0.39854486661277289</v>
      </c>
      <c r="L21" s="187">
        <f t="shared" si="23"/>
        <v>0.46313799621928164</v>
      </c>
      <c r="M21" s="187">
        <f t="shared" si="23"/>
        <v>4.0513166779203136E-2</v>
      </c>
      <c r="N21" s="187">
        <f t="shared" si="23"/>
        <v>-1.7479970866715266E-2</v>
      </c>
      <c r="O21" s="187">
        <f t="shared" si="23"/>
        <v>-0.10057803468208093</v>
      </c>
      <c r="P21" s="187">
        <f t="shared" si="23"/>
        <v>-0.24612403100775193</v>
      </c>
      <c r="Q21" s="187">
        <f>Q18/M18-1</f>
        <v>-0.20506164828033746</v>
      </c>
      <c r="R21" s="187">
        <f t="shared" ref="R21" si="24">R18/N18-1</f>
        <v>-0.11489992587101561</v>
      </c>
      <c r="S21" s="219"/>
      <c r="T21" s="219"/>
      <c r="U21" s="152"/>
      <c r="AA21" s="125"/>
    </row>
    <row r="22" spans="1:27" x14ac:dyDescent="0.25">
      <c r="P22" s="51"/>
      <c r="Q22" s="51"/>
      <c r="R22" s="51"/>
    </row>
    <row r="24" spans="1:27" x14ac:dyDescent="0.25">
      <c r="B24" s="104"/>
      <c r="P24" s="105"/>
      <c r="Q24" s="105"/>
      <c r="R24" s="105"/>
    </row>
  </sheetData>
  <phoneticPr fontId="29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2023-02-15T13:21:14Z</dcterms:modified>
</cp:coreProperties>
</file>