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7543683-FF81-42D6-B12B-1B226BC702AB}" xr6:coauthVersionLast="36" xr6:coauthVersionMax="36" xr10:uidLastSave="{00000000-0000-0000-0000-000000000000}"/>
  <bookViews>
    <workbookView xWindow="0" yWindow="0" windowWidth="28800" windowHeight="12225" xr2:uid="{CCA103E1-675A-4605-B96F-0654FEFE97EB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8" i="2" l="1"/>
  <c r="Y37" i="2"/>
  <c r="Y36" i="2"/>
  <c r="Y35" i="2"/>
  <c r="Z30" i="2"/>
  <c r="Z29" i="2"/>
  <c r="Z28" i="2"/>
  <c r="Z27" i="2"/>
  <c r="Z26" i="2"/>
  <c r="Y10" i="2" l="1"/>
  <c r="Y13" i="2" s="1"/>
  <c r="C10" i="1"/>
  <c r="P23" i="2"/>
  <c r="P22" i="2"/>
  <c r="Y18" i="2" l="1"/>
  <c r="Y20" i="2" s="1"/>
  <c r="Y22" i="2" s="1"/>
  <c r="Y23" i="2" s="1"/>
  <c r="P63" i="2"/>
  <c r="P67" i="2" s="1"/>
  <c r="P70" i="2" s="1"/>
  <c r="T63" i="2"/>
  <c r="T67" i="2" s="1"/>
  <c r="T70" i="2" s="1"/>
  <c r="T76" i="2"/>
  <c r="C26" i="1"/>
  <c r="P51" i="2"/>
  <c r="P56" i="2" s="1"/>
  <c r="P72" i="2" s="1"/>
  <c r="P73" i="2" s="1"/>
  <c r="T51" i="2"/>
  <c r="T56" i="2" s="1"/>
  <c r="T72" i="2" s="1"/>
  <c r="T73" i="2" s="1"/>
  <c r="C36" i="1" s="1"/>
  <c r="T27" i="2"/>
  <c r="T28" i="2"/>
  <c r="T29" i="2"/>
  <c r="T30" i="2"/>
  <c r="T31" i="2"/>
  <c r="P8" i="2"/>
  <c r="P37" i="2" s="1"/>
  <c r="T8" i="2"/>
  <c r="T26" i="2" l="1"/>
  <c r="T10" i="2"/>
  <c r="T35" i="2" l="1"/>
  <c r="T13" i="2"/>
  <c r="Z63" i="2"/>
  <c r="Z67" i="2" s="1"/>
  <c r="Z70" i="2" s="1"/>
  <c r="AA63" i="2"/>
  <c r="AA67" i="2" s="1"/>
  <c r="AA70" i="2" s="1"/>
  <c r="AA76" i="2"/>
  <c r="T18" i="2" l="1"/>
  <c r="T36" i="2"/>
  <c r="AA53" i="2"/>
  <c r="Z53" i="2"/>
  <c r="Z51" i="2"/>
  <c r="AA51" i="2"/>
  <c r="T20" i="2" l="1"/>
  <c r="T22" i="2" s="1"/>
  <c r="T38" i="2"/>
  <c r="Z56" i="2"/>
  <c r="T23" i="2" l="1"/>
  <c r="T37" i="2"/>
  <c r="AA56" i="2"/>
  <c r="AA72" i="2" s="1"/>
  <c r="AA73" i="2" s="1"/>
  <c r="Z72" i="2"/>
  <c r="Z73" i="2" s="1"/>
  <c r="AA31" i="2"/>
  <c r="S31" i="2"/>
  <c r="AA30" i="2"/>
  <c r="AA29" i="2"/>
  <c r="AA28" i="2"/>
  <c r="AA27" i="2"/>
  <c r="S30" i="2"/>
  <c r="S29" i="2"/>
  <c r="S28" i="2"/>
  <c r="S27" i="2"/>
  <c r="Z8" i="2"/>
  <c r="Z10" i="2" s="1"/>
  <c r="AA8" i="2"/>
  <c r="AA10" i="2" s="1"/>
  <c r="O8" i="2"/>
  <c r="S8" i="2"/>
  <c r="AA26" i="2" l="1"/>
  <c r="S26" i="2"/>
  <c r="P10" i="2"/>
  <c r="AA35" i="2"/>
  <c r="AA13" i="2"/>
  <c r="Z35" i="2"/>
  <c r="Z13" i="2"/>
  <c r="Z18" i="2" s="1"/>
  <c r="C11" i="1"/>
  <c r="C8" i="1"/>
  <c r="P35" i="2" l="1"/>
  <c r="P13" i="2"/>
  <c r="AA18" i="2"/>
  <c r="AA36" i="2"/>
  <c r="Z36" i="2"/>
  <c r="C12" i="1"/>
  <c r="P18" i="2" l="1"/>
  <c r="P38" i="2" s="1"/>
  <c r="P36" i="2"/>
  <c r="Z38" i="2"/>
  <c r="Z20" i="2"/>
  <c r="Z22" i="2" s="1"/>
  <c r="AA20" i="2"/>
  <c r="AA22" i="2" s="1"/>
  <c r="AA38" i="2"/>
  <c r="AA37" i="2" l="1"/>
  <c r="AA23" i="2"/>
  <c r="C34" i="1" s="1"/>
  <c r="Z23" i="2"/>
  <c r="Z37" i="2"/>
  <c r="C33" i="1"/>
</calcChain>
</file>

<file path=xl/sharedStrings.xml><?xml version="1.0" encoding="utf-8"?>
<sst xmlns="http://schemas.openxmlformats.org/spreadsheetml/2006/main" count="182" uniqueCount="154">
  <si>
    <t>$VFC</t>
  </si>
  <si>
    <t>VF Corporation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</si>
  <si>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</si>
  <si>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</si>
  <si>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</si>
  <si>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</si>
  <si>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</si>
  <si>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</si>
  <si>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</si>
  <si>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</si>
  <si>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</si>
  <si>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</si>
  <si>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</si>
  <si>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Brands</t>
  </si>
  <si>
    <t>Brands/Products</t>
  </si>
  <si>
    <t>Outdoor</t>
  </si>
  <si>
    <t>Active</t>
  </si>
  <si>
    <t>Work</t>
  </si>
  <si>
    <t>The North Face</t>
  </si>
  <si>
    <t>Timberland</t>
  </si>
  <si>
    <t>Smartwool</t>
  </si>
  <si>
    <t>icebreaker</t>
  </si>
  <si>
    <t>Altra</t>
  </si>
  <si>
    <t>Vans</t>
  </si>
  <si>
    <t>Supreme</t>
  </si>
  <si>
    <t>kipling</t>
  </si>
  <si>
    <t>napapijri</t>
  </si>
  <si>
    <t>EASTPAK</t>
  </si>
  <si>
    <t>JANSPORT</t>
  </si>
  <si>
    <t>Dickies</t>
  </si>
  <si>
    <t>Timberland Pro</t>
  </si>
  <si>
    <t>Profile</t>
  </si>
  <si>
    <t>HQ</t>
  </si>
  <si>
    <t>Founded</t>
  </si>
  <si>
    <t>Stores</t>
  </si>
  <si>
    <t>Update</t>
  </si>
  <si>
    <t>IR</t>
  </si>
  <si>
    <t>Ratios</t>
  </si>
  <si>
    <t>Key Events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</si>
  <si>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</si>
  <si>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</si>
  <si>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</si>
  <si>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</si>
  <si>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</si>
  <si>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</si>
  <si>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</si>
  <si>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</si>
  <si>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</si>
  <si>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</si>
  <si>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</si>
  <si>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</si>
  <si>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</si>
  <si>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</si>
  <si>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</si>
  <si>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</si>
  <si>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</si>
  <si>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</si>
  <si>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</si>
  <si>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</si>
  <si>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</si>
  <si>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</si>
  <si>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</si>
  <si>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</si>
  <si>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</si>
  <si>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</si>
  <si>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</si>
  <si>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</si>
  <si>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</si>
  <si>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</si>
  <si>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</si>
  <si>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</si>
  <si>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</si>
  <si>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</si>
  <si>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Link</t>
  </si>
  <si>
    <t>Denver, US</t>
  </si>
  <si>
    <t>Steven Rendle</t>
  </si>
  <si>
    <t>Chair</t>
  </si>
  <si>
    <t>VP</t>
  </si>
  <si>
    <t>Matt Puckett</t>
  </si>
  <si>
    <t>Pres.</t>
  </si>
  <si>
    <t>(OF Vans)</t>
  </si>
  <si>
    <t>Kevin Bailey</t>
  </si>
  <si>
    <t>EV/E</t>
  </si>
  <si>
    <t>P/E</t>
  </si>
  <si>
    <t>ROCE</t>
  </si>
  <si>
    <t>P/B</t>
  </si>
  <si>
    <t>P/E 21</t>
  </si>
  <si>
    <t>EV/E 21</t>
  </si>
  <si>
    <t>EV/E 20</t>
  </si>
  <si>
    <t>Q123</t>
  </si>
  <si>
    <t>CEO of VF says "not ready to declare supply chain crisis over" and still seeing</t>
  </si>
  <si>
    <t>unexpectedly strong demand</t>
  </si>
  <si>
    <t>North Face</t>
  </si>
  <si>
    <t>Other Brands</t>
  </si>
  <si>
    <t>Revenue</t>
  </si>
  <si>
    <t>Revenue Y/Y</t>
  </si>
  <si>
    <t>Revenue Q/Q</t>
  </si>
  <si>
    <t>COGS</t>
  </si>
  <si>
    <t>Gross Profit</t>
  </si>
  <si>
    <t>SG&amp;A</t>
  </si>
  <si>
    <t>Impairment</t>
  </si>
  <si>
    <t>Operating Income</t>
  </si>
  <si>
    <t>Interest Income</t>
  </si>
  <si>
    <t>Interest Expense</t>
  </si>
  <si>
    <t>Loss on debt ext.</t>
  </si>
  <si>
    <t>Other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</si>
  <si>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</si>
  <si>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</si>
  <si>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</si>
  <si>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</si>
  <si>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</si>
  <si>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</si>
  <si>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</si>
  <si>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Taxes %</t>
  </si>
  <si>
    <t>USP, Facts &amp; Company Info</t>
  </si>
  <si>
    <t>Founded as Reading Glove &amp; Mitten</t>
  </si>
  <si>
    <t>manufacturing in 1899</t>
  </si>
  <si>
    <t>Controls 55% of US Backpack market</t>
  </si>
  <si>
    <t>Balance Sheet</t>
  </si>
  <si>
    <r>
      <t xml:space="preserve">Re. prep for recession </t>
    </r>
    <r>
      <rPr>
        <i/>
        <sz val="10"/>
        <color theme="1"/>
        <rFont val="Arial"/>
        <family val="2"/>
      </rPr>
      <t>"Agility is critical. We'll manage inventory to really protect gross margin, and that's probably top of mind"</t>
    </r>
  </si>
  <si>
    <t>A/R</t>
  </si>
  <si>
    <t>Inventories</t>
  </si>
  <si>
    <t>Short Term Investments</t>
  </si>
  <si>
    <t>OCA</t>
  </si>
  <si>
    <t>Discontinued Ops</t>
  </si>
  <si>
    <t>TCA</t>
  </si>
  <si>
    <t>PP&amp;E</t>
  </si>
  <si>
    <t>Intangibles + Goodwill</t>
  </si>
  <si>
    <t>Operating ROU</t>
  </si>
  <si>
    <t>Other Assets</t>
  </si>
  <si>
    <t>Assets</t>
  </si>
  <si>
    <t>Short-Term Borrowings</t>
  </si>
  <si>
    <t>A/P</t>
  </si>
  <si>
    <t>Accrued Liabilities</t>
  </si>
  <si>
    <t>TCL</t>
  </si>
  <si>
    <t>Long-Term Debt</t>
  </si>
  <si>
    <t>Operating Lease Liabilities</t>
  </si>
  <si>
    <t>Other Liabilities</t>
  </si>
  <si>
    <t>Liabilities</t>
  </si>
  <si>
    <t>S/E</t>
  </si>
  <si>
    <t>S/E+L</t>
  </si>
  <si>
    <t>Book Value</t>
  </si>
  <si>
    <t>Book Value per Share</t>
  </si>
  <si>
    <t>Current Port. LT Debt</t>
  </si>
  <si>
    <t>Inv.</t>
  </si>
  <si>
    <t>Inventory Y/Y</t>
  </si>
  <si>
    <t>-</t>
  </si>
  <si>
    <t>Inventory Q/Q</t>
  </si>
  <si>
    <t>Continued Operations Inc.</t>
  </si>
  <si>
    <t>Discontinued Operations Inc.</t>
  </si>
  <si>
    <t>Q223</t>
  </si>
  <si>
    <t>Non-Finance Metrics</t>
  </si>
  <si>
    <t>DTC Store Count</t>
  </si>
  <si>
    <t>FQ123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</si>
</sst>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3" borderId="4" xfId="0" applyFont="1" applyFill="1" applyBorder="1"/>
    <xf numFmtId="0" fontId="3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6" xfId="0" applyFont="1" applyFill="1" applyBorder="1"/>
    <xf numFmtId="0" fontId="3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3" fillId="4" borderId="5" xfId="0" applyFont="1" applyFill="1" applyBorder="1"/>
    <xf numFmtId="0" fontId="1" fillId="3" borderId="0" xfId="0" applyFont="1" applyFill="1" applyBorder="1"/>
    <xf numFmtId="0" fontId="3" fillId="3" borderId="5" xfId="0" applyFont="1" applyFill="1" applyBorder="1"/>
    <xf numFmtId="17" fontId="3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7" fillId="4" borderId="5" xfId="1" applyFont="1" applyFill="1" applyBorder="1" applyAlignment="1">
      <alignment horizontal="center"/>
    </xf>
    <xf numFmtId="0" fontId="7" fillId="0" borderId="0" xfId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8" fillId="0" borderId="0" xfId="0" applyFont="1"/>
    <xf numFmtId="164" fontId="8" fillId="0" borderId="0" xfId="0" applyNumberFormat="1" applyFont="1"/>
    <xf numFmtId="164" fontId="3" fillId="0" borderId="0" xfId="0" applyNumberFormat="1" applyFont="1"/>
    <xf numFmtId="9" fontId="3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8" fillId="0" borderId="0" xfId="0" applyFont="1" applyAlignment="1">
      <alignment horizontal="right"/>
    </xf>
    <xf numFmtId="9" fontId="8" fillId="0" borderId="0" xfId="0" applyNumberFormat="1" applyFont="1"/>
    <xf numFmtId="164" fontId="1" fillId="0" borderId="0" xfId="0" applyNumberFormat="1" applyFont="1"/>
    <xf numFmtId="0" fontId="9" fillId="0" borderId="0" xfId="0" applyFont="1"/>
    <xf numFmtId="0" fontId="8" fillId="0" borderId="0" xfId="0" applyFont="1" applyAlignment="1">
      <alignment horizontal="left" indent="2"/>
    </xf>
    <xf numFmtId="2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176522</xdr:colOff>
      <xdr:row>0</xdr:row>
      <xdr:rowOff>97023</xdr:rowOff>
    </xdr:from>
    <xdr:to>
      <xdr:col>6</xdr:col>
      <xdr:colOff>271088</xdr:colOff>
      <xdr:row>2</xdr:row>
      <xdr:rowOff>180976</xdr:rowOff>
    </xdr:to>
    <xdr:pic>
      <xdr:nvPicPr>
        <xdr:cNvPr id="2" name="Picture 1" descr="VF Corporation Success Story | Hogan Assessments">
          <a:extLst>
            <a:ext uri="{FF2B5EF4-FFF2-40B4-BE49-F238E27FC236}">
              <a16:creationId xmlns:a16="http://schemas.microsoft.com/office/drawing/2014/main" id="{BF120DFA-97F9-45C9-BDE6-F8AEB87D6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4922" y="97023"/>
          <a:ext cx="1313766" cy="436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9525</xdr:rowOff>
    </xdr:from>
    <xdr:to>
      <xdr:col>27</xdr:col>
      <xdr:colOff>0</xdr:colOff>
      <xdr:row>83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E8E4484-ED48-47C1-B8EE-E124B08050A9}"/>
            </a:ext>
          </a:extLst>
        </xdr:cNvPr>
        <xdr:cNvCxnSpPr/>
      </xdr:nvCxnSpPr>
      <xdr:spPr>
        <a:xfrm>
          <a:off x="16459200" y="9525"/>
          <a:ext cx="0" cy="114490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0</xdr:row>
      <xdr:rowOff>0</xdr:rowOff>
    </xdr:from>
    <xdr:to>
      <xdr:col>20</xdr:col>
      <xdr:colOff>19050</xdr:colOff>
      <xdr:row>83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21EE94C-F656-4483-B33D-18770C204D35}"/>
            </a:ext>
          </a:extLst>
        </xdr:cNvPr>
        <xdr:cNvCxnSpPr/>
      </xdr:nvCxnSpPr>
      <xdr:spPr>
        <a:xfrm>
          <a:off x="13154025" y="0"/>
          <a:ext cx="0" cy="13068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fortune.com/2022/07/22/ceo-vans-parent-company-vf-declare-supply-chain-crisis-over/" TargetMode="External"/><Relationship Id="rId1" Type="http://schemas.openxmlformats.org/officeDocument/2006/relationships/hyperlink" Target="https://www.vfc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1io3yog0oux5.cloudfront.net/_69d1d57b6997291faed97381c09f678c/vfc/db/409/70380/annual_report/VF_FY2020_ShareholderLetter-DIGITAL-FINAL.pdf" TargetMode="External"/><Relationship Id="rId2" Type="http://schemas.openxmlformats.org/officeDocument/2006/relationships/hyperlink" Target="https://d1io3yog0oux5.cloudfront.net/_69d1d57b6997291faed97381c09f678c/vfc/news/2022-07-28_VF_Corporation_Reports_Solid_Top_Line_Performance__1793.pdf" TargetMode="External"/><Relationship Id="rId1" Type="http://schemas.openxmlformats.org/officeDocument/2006/relationships/hyperlink" Target="https://www.vfc.com/investors/news-events-presentations/press-releases/detail/1791/vf-corporation-reports-broad-based-growth-in-fourth-quarter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E0CD-5502-4D8A-82C5-8B7A2CE78084}">
  <dimension ref="A2:Z40"/>
  <sheetViews>
    <sheetView tabSelected="1" workbookViewId="0">
      <selection activeCell="C7" sqref="C7"/>
    </sheetView>
  </sheetViews>
  <sheetFormatPr defaultRowHeight="12.75" x14ac:dyDescent="0.2"/>
  <cols>
    <col min="1" max="16384" width="9.140625" style="1"/>
  </cols>
  <sheetData>
    <row r="2" spans="1:26" ht="15" x14ac:dyDescent="0.25">
      <c r="B2" s="2" t="s">
        <v>0</v>
      </c>
      <c r="F2"/>
    </row>
    <row r="3" spans="1:26" ht="15" x14ac:dyDescent="0.25">
      <c r="B3" s="3" t="s">
        <v>1</v>
      </c>
      <c r="Q3"/>
    </row>
    <row r="4" spans="1:26" x14ac:dyDescent="0.2">
      <c r="H4" s="49" t="s">
        <v>38</v>
      </c>
      <c r="I4" s="50"/>
      <c r="J4" s="50"/>
      <c r="K4" s="50"/>
      <c r="L4" s="50"/>
      <c r="M4" s="50"/>
      <c r="N4" s="50"/>
      <c r="O4" s="50"/>
      <c r="P4" s="51"/>
      <c r="R4" s="49" t="s">
        <v>14</v>
      </c>
      <c r="S4" s="50"/>
      <c r="T4" s="50"/>
      <c r="U4" s="51"/>
      <c r="W4" s="49" t="s">
        <v>114</v>
      </c>
      <c r="X4" s="50"/>
      <c r="Y4" s="50"/>
      <c r="Z4" s="51"/>
    </row>
    <row r="5" spans="1:26" x14ac:dyDescent="0.2">
      <c r="B5" s="49" t="s">
        <v>2</v>
      </c>
      <c r="C5" s="50"/>
      <c r="D5" s="51"/>
      <c r="H5" s="19"/>
      <c r="I5" s="9"/>
      <c r="J5" s="9"/>
      <c r="K5" s="9"/>
      <c r="L5" s="9"/>
      <c r="M5" s="9"/>
      <c r="N5" s="9"/>
      <c r="O5" s="9"/>
      <c r="P5" s="10"/>
      <c r="R5" s="7" t="s">
        <v>13</v>
      </c>
      <c r="S5" s="27"/>
      <c r="T5" s="27"/>
      <c r="U5" s="28" t="s">
        <v>34</v>
      </c>
      <c r="W5" s="15" t="s">
        <v>115</v>
      </c>
      <c r="X5" s="9"/>
      <c r="Y5" s="9"/>
      <c r="Z5" s="10"/>
    </row>
    <row r="6" spans="1:26" x14ac:dyDescent="0.2">
      <c r="B6" s="7" t="s">
        <v>3</v>
      </c>
      <c r="C6" s="4">
        <v>35.78</v>
      </c>
      <c r="D6" s="5"/>
      <c r="H6" s="29">
        <v>44743</v>
      </c>
      <c r="I6" s="9" t="s">
        <v>90</v>
      </c>
      <c r="J6" s="9"/>
      <c r="K6" s="9"/>
      <c r="L6" s="9"/>
      <c r="M6" s="9"/>
      <c r="N6" s="9"/>
      <c r="O6" s="9"/>
      <c r="P6" s="10"/>
      <c r="R6" s="17" t="s">
        <v>15</v>
      </c>
      <c r="S6" s="9"/>
      <c r="T6" s="9"/>
      <c r="U6" s="26"/>
      <c r="W6" s="18" t="s">
        <v>116</v>
      </c>
      <c r="X6" s="9"/>
      <c r="Y6" s="9"/>
      <c r="Z6" s="10"/>
    </row>
    <row r="7" spans="1:26" x14ac:dyDescent="0.2">
      <c r="B7" s="7" t="s">
        <v>4</v>
      </c>
      <c r="C7" s="24">
        <v>388.90166699999997</v>
      </c>
      <c r="D7" s="5" t="s">
        <v>153</v>
      </c>
      <c r="H7" s="19"/>
      <c r="I7" s="30" t="s">
        <v>91</v>
      </c>
      <c r="J7" s="9"/>
      <c r="K7" s="9"/>
      <c r="L7" s="9"/>
      <c r="M7" s="9"/>
      <c r="N7" s="9"/>
      <c r="O7" s="9"/>
      <c r="P7" s="31" t="s">
        <v>73</v>
      </c>
      <c r="R7" s="18" t="s">
        <v>18</v>
      </c>
      <c r="S7" s="9"/>
      <c r="T7" s="9"/>
      <c r="U7" s="10"/>
      <c r="W7" s="15"/>
      <c r="X7" s="9"/>
      <c r="Y7" s="9"/>
      <c r="Z7" s="10"/>
    </row>
    <row r="8" spans="1:26" x14ac:dyDescent="0.2">
      <c r="B8" s="7" t="s">
        <v>5</v>
      </c>
      <c r="C8" s="24">
        <f>C6*C7</f>
        <v>13914.901645259999</v>
      </c>
      <c r="D8" s="5"/>
      <c r="H8" s="19"/>
      <c r="I8" s="9"/>
      <c r="J8" s="9"/>
      <c r="K8" s="9"/>
      <c r="L8" s="9"/>
      <c r="M8" s="9"/>
      <c r="N8" s="9"/>
      <c r="O8" s="9"/>
      <c r="P8" s="10"/>
      <c r="R8" s="18" t="s">
        <v>19</v>
      </c>
      <c r="S8" s="9"/>
      <c r="T8" s="9"/>
      <c r="U8" s="10"/>
      <c r="W8" s="15" t="s">
        <v>117</v>
      </c>
      <c r="X8" s="9"/>
      <c r="Y8" s="9"/>
      <c r="Z8" s="10"/>
    </row>
    <row r="9" spans="1:26" x14ac:dyDescent="0.2">
      <c r="B9" s="7" t="s">
        <v>6</v>
      </c>
      <c r="C9" s="24">
        <v>528</v>
      </c>
      <c r="D9" s="5" t="s">
        <v>153</v>
      </c>
      <c r="H9" s="19"/>
      <c r="I9" s="9"/>
      <c r="J9" s="9"/>
      <c r="K9" s="9"/>
      <c r="L9" s="9"/>
      <c r="M9" s="9"/>
      <c r="N9" s="9"/>
      <c r="O9" s="9"/>
      <c r="P9" s="10"/>
      <c r="R9" s="18" t="s">
        <v>20</v>
      </c>
      <c r="S9" s="9"/>
      <c r="T9" s="9"/>
      <c r="U9" s="10"/>
      <c r="W9" s="15"/>
      <c r="X9" s="9"/>
      <c r="Y9" s="9"/>
      <c r="Z9" s="10"/>
    </row>
    <row r="10" spans="1:26" x14ac:dyDescent="0.2">
      <c r="B10" s="7" t="s">
        <v>7</v>
      </c>
      <c r="C10" s="24">
        <f>4468.4+827.4+1.1</f>
        <v>5296.9</v>
      </c>
      <c r="D10" s="5" t="s">
        <v>153</v>
      </c>
      <c r="H10" s="19"/>
      <c r="I10" s="9"/>
      <c r="J10" s="9"/>
      <c r="K10" s="9"/>
      <c r="L10" s="9"/>
      <c r="M10" s="9"/>
      <c r="N10" s="9"/>
      <c r="O10" s="9"/>
      <c r="P10" s="10"/>
      <c r="R10" s="18" t="s">
        <v>21</v>
      </c>
      <c r="S10" s="9"/>
      <c r="T10" s="9"/>
      <c r="U10" s="10"/>
      <c r="W10" s="15"/>
      <c r="X10" s="9"/>
      <c r="Y10" s="9"/>
      <c r="Z10" s="10"/>
    </row>
    <row r="11" spans="1:26" x14ac:dyDescent="0.2">
      <c r="B11" s="7" t="s">
        <v>8</v>
      </c>
      <c r="C11" s="24">
        <f>C9-C10</f>
        <v>-4768.8999999999996</v>
      </c>
      <c r="D11" s="5" t="s">
        <v>153</v>
      </c>
      <c r="H11" s="19"/>
      <c r="I11" s="9"/>
      <c r="J11" s="9"/>
      <c r="K11" s="9"/>
      <c r="L11" s="9"/>
      <c r="M11" s="9"/>
      <c r="N11" s="9"/>
      <c r="O11" s="9"/>
      <c r="P11" s="10"/>
      <c r="R11" s="18" t="s">
        <v>22</v>
      </c>
      <c r="S11" s="9"/>
      <c r="T11" s="9"/>
      <c r="U11" s="10"/>
      <c r="W11" s="15"/>
      <c r="X11" s="9"/>
      <c r="Y11" s="9"/>
      <c r="Z11" s="10"/>
    </row>
    <row r="12" spans="1:26" x14ac:dyDescent="0.2">
      <c r="B12" s="8" t="s">
        <v>9</v>
      </c>
      <c r="C12" s="25">
        <f>C8-C11</f>
        <v>18683.801645259999</v>
      </c>
      <c r="D12" s="6"/>
      <c r="H12" s="19"/>
      <c r="I12" s="9"/>
      <c r="J12" s="9"/>
      <c r="K12" s="9"/>
      <c r="L12" s="9"/>
      <c r="M12" s="9"/>
      <c r="N12" s="9"/>
      <c r="O12" s="9"/>
      <c r="P12" s="10"/>
      <c r="R12" s="15"/>
      <c r="S12" s="9"/>
      <c r="T12" s="9"/>
      <c r="U12" s="10"/>
      <c r="W12" s="15"/>
      <c r="X12" s="9"/>
      <c r="Y12" s="9"/>
      <c r="Z12" s="10"/>
    </row>
    <row r="13" spans="1:26" x14ac:dyDescent="0.2">
      <c r="H13" s="19"/>
      <c r="I13" s="9"/>
      <c r="J13" s="9"/>
      <c r="K13" s="9"/>
      <c r="L13" s="9"/>
      <c r="M13" s="9"/>
      <c r="N13" s="9"/>
      <c r="O13" s="9"/>
      <c r="P13" s="10"/>
      <c r="R13" s="17" t="s">
        <v>16</v>
      </c>
      <c r="S13" s="9"/>
      <c r="T13" s="9"/>
      <c r="U13" s="10"/>
      <c r="W13" s="15"/>
      <c r="X13" s="9"/>
      <c r="Y13" s="9"/>
      <c r="Z13" s="10"/>
    </row>
    <row r="14" spans="1:26" x14ac:dyDescent="0.2">
      <c r="H14" s="19"/>
      <c r="I14" s="9"/>
      <c r="J14" s="9"/>
      <c r="K14" s="9"/>
      <c r="L14" s="9"/>
      <c r="M14" s="9"/>
      <c r="N14" s="9"/>
      <c r="O14" s="9"/>
      <c r="P14" s="10"/>
      <c r="R14" s="18" t="s">
        <v>23</v>
      </c>
      <c r="S14" s="9"/>
      <c r="T14" s="9"/>
      <c r="U14" s="10"/>
      <c r="W14" s="15"/>
      <c r="X14" s="9"/>
      <c r="Y14" s="9"/>
      <c r="Z14" s="10"/>
    </row>
    <row r="15" spans="1:26" x14ac:dyDescent="0.2">
      <c r="B15" s="49" t="s">
        <v>10</v>
      </c>
      <c r="C15" s="50"/>
      <c r="D15" s="51"/>
      <c r="H15" s="19"/>
      <c r="I15" s="9"/>
      <c r="J15" s="9"/>
      <c r="K15" s="9"/>
      <c r="L15" s="9"/>
      <c r="M15" s="9"/>
      <c r="N15" s="9"/>
      <c r="O15" s="9"/>
      <c r="P15" s="10"/>
      <c r="R15" s="18" t="s">
        <v>24</v>
      </c>
      <c r="S15" s="9"/>
      <c r="T15" s="9"/>
      <c r="U15" s="10"/>
      <c r="W15" s="16"/>
      <c r="X15" s="11"/>
      <c r="Y15" s="11"/>
      <c r="Z15" s="12"/>
    </row>
    <row r="16" spans="1:26" x14ac:dyDescent="0.2">
      <c r="A16" s="1" t="s">
        <v>76</v>
      </c>
      <c r="B16" s="13" t="s">
        <v>11</v>
      </c>
      <c r="C16" s="56" t="s">
        <v>75</v>
      </c>
      <c r="D16" s="57"/>
      <c r="H16" s="19"/>
      <c r="I16" s="9"/>
      <c r="J16" s="9"/>
      <c r="K16" s="9"/>
      <c r="L16" s="9"/>
      <c r="M16" s="9"/>
      <c r="N16" s="9"/>
      <c r="O16" s="9"/>
      <c r="P16" s="10"/>
      <c r="R16" s="18" t="s">
        <v>25</v>
      </c>
      <c r="S16" s="9"/>
      <c r="T16" s="9"/>
      <c r="U16" s="10"/>
    </row>
    <row r="17" spans="1:21" x14ac:dyDescent="0.2">
      <c r="A17" s="1" t="s">
        <v>77</v>
      </c>
      <c r="B17" s="13" t="s">
        <v>12</v>
      </c>
      <c r="C17" s="56" t="s">
        <v>78</v>
      </c>
      <c r="D17" s="57"/>
      <c r="H17" s="19"/>
      <c r="I17" s="9"/>
      <c r="J17" s="9"/>
      <c r="K17" s="9"/>
      <c r="L17" s="9"/>
      <c r="M17" s="9"/>
      <c r="N17" s="9"/>
      <c r="O17" s="9"/>
      <c r="P17" s="10"/>
      <c r="R17" s="18" t="s">
        <v>26</v>
      </c>
      <c r="S17" s="9"/>
      <c r="T17" s="9"/>
      <c r="U17" s="10"/>
    </row>
    <row r="18" spans="1:21" x14ac:dyDescent="0.2">
      <c r="B18" s="13"/>
      <c r="C18" s="9"/>
      <c r="D18" s="10"/>
      <c r="H18" s="19"/>
      <c r="I18" s="9"/>
      <c r="J18" s="9"/>
      <c r="K18" s="9"/>
      <c r="L18" s="9"/>
      <c r="M18" s="9"/>
      <c r="N18" s="9"/>
      <c r="O18" s="9"/>
      <c r="P18" s="10"/>
      <c r="R18" s="18" t="s">
        <v>27</v>
      </c>
      <c r="S18" s="9"/>
      <c r="T18" s="9"/>
      <c r="U18" s="10"/>
    </row>
    <row r="19" spans="1:21" x14ac:dyDescent="0.2">
      <c r="A19" s="1" t="s">
        <v>80</v>
      </c>
      <c r="B19" s="14" t="s">
        <v>79</v>
      </c>
      <c r="C19" s="52" t="s">
        <v>81</v>
      </c>
      <c r="D19" s="53"/>
      <c r="H19" s="19"/>
      <c r="I19" s="9"/>
      <c r="J19" s="9"/>
      <c r="K19" s="9"/>
      <c r="L19" s="9"/>
      <c r="M19" s="9"/>
      <c r="N19" s="9"/>
      <c r="O19" s="9"/>
      <c r="P19" s="10"/>
      <c r="R19" s="18" t="s">
        <v>28</v>
      </c>
      <c r="S19" s="9"/>
      <c r="T19" s="9"/>
      <c r="U19" s="10"/>
    </row>
    <row r="20" spans="1:21" x14ac:dyDescent="0.2">
      <c r="H20" s="19"/>
      <c r="I20" s="9"/>
      <c r="J20" s="9"/>
      <c r="K20" s="9"/>
      <c r="L20" s="9"/>
      <c r="M20" s="9"/>
      <c r="N20" s="9"/>
      <c r="O20" s="9"/>
      <c r="P20" s="10"/>
      <c r="R20" s="15"/>
      <c r="S20" s="9"/>
      <c r="T20" s="9"/>
      <c r="U20" s="10"/>
    </row>
    <row r="21" spans="1:21" x14ac:dyDescent="0.2">
      <c r="H21" s="19"/>
      <c r="I21" s="9"/>
      <c r="J21" s="9"/>
      <c r="K21" s="9"/>
      <c r="L21" s="9"/>
      <c r="M21" s="9"/>
      <c r="N21" s="9"/>
      <c r="O21" s="9"/>
      <c r="P21" s="10"/>
      <c r="R21" s="17" t="s">
        <v>17</v>
      </c>
      <c r="S21" s="9"/>
      <c r="T21" s="9"/>
      <c r="U21" s="10"/>
    </row>
    <row r="22" spans="1:21" x14ac:dyDescent="0.2">
      <c r="B22" s="49" t="s">
        <v>31</v>
      </c>
      <c r="C22" s="50"/>
      <c r="D22" s="51"/>
      <c r="H22" s="19"/>
      <c r="I22" s="9"/>
      <c r="J22" s="9"/>
      <c r="K22" s="9"/>
      <c r="L22" s="9"/>
      <c r="M22" s="9"/>
      <c r="N22" s="9"/>
      <c r="O22" s="9"/>
      <c r="P22" s="10"/>
      <c r="R22" s="18" t="s">
        <v>29</v>
      </c>
      <c r="S22" s="9"/>
      <c r="T22" s="9"/>
      <c r="U22" s="10"/>
    </row>
    <row r="23" spans="1:21" x14ac:dyDescent="0.2">
      <c r="B23" s="19" t="s">
        <v>32</v>
      </c>
      <c r="C23" s="56" t="s">
        <v>74</v>
      </c>
      <c r="D23" s="57"/>
      <c r="H23" s="20"/>
      <c r="I23" s="11"/>
      <c r="J23" s="11"/>
      <c r="K23" s="11"/>
      <c r="L23" s="11"/>
      <c r="M23" s="11"/>
      <c r="N23" s="11"/>
      <c r="O23" s="11"/>
      <c r="P23" s="12"/>
      <c r="R23" s="18" t="s">
        <v>30</v>
      </c>
      <c r="S23" s="9"/>
      <c r="T23" s="9"/>
      <c r="U23" s="10"/>
    </row>
    <row r="24" spans="1:21" x14ac:dyDescent="0.2">
      <c r="B24" s="19" t="s">
        <v>33</v>
      </c>
      <c r="C24" s="56">
        <v>1899</v>
      </c>
      <c r="D24" s="57"/>
      <c r="R24" s="16"/>
      <c r="S24" s="11"/>
      <c r="T24" s="11"/>
      <c r="U24" s="12"/>
    </row>
    <row r="25" spans="1:21" x14ac:dyDescent="0.2">
      <c r="B25" s="19" t="s">
        <v>34</v>
      </c>
      <c r="C25" s="58">
        <v>1297</v>
      </c>
      <c r="D25" s="59"/>
    </row>
    <row r="26" spans="1:21" x14ac:dyDescent="0.2">
      <c r="B26" s="19" t="s">
        <v>144</v>
      </c>
      <c r="C26" s="60">
        <f>'Financial Model'!T47</f>
        <v>2341.395</v>
      </c>
      <c r="D26" s="61"/>
    </row>
    <row r="27" spans="1:21" x14ac:dyDescent="0.2">
      <c r="B27" s="19"/>
      <c r="C27" s="56"/>
      <c r="D27" s="57"/>
    </row>
    <row r="28" spans="1:21" x14ac:dyDescent="0.2">
      <c r="B28" s="19" t="s">
        <v>35</v>
      </c>
      <c r="C28" s="56" t="s">
        <v>153</v>
      </c>
      <c r="D28" s="57"/>
    </row>
    <row r="29" spans="1:21" x14ac:dyDescent="0.2">
      <c r="B29" s="20" t="s">
        <v>36</v>
      </c>
      <c r="C29" s="62" t="s">
        <v>73</v>
      </c>
      <c r="D29" s="63"/>
    </row>
    <row r="32" spans="1:21" x14ac:dyDescent="0.2">
      <c r="B32" s="49" t="s">
        <v>37</v>
      </c>
      <c r="C32" s="50"/>
      <c r="D32" s="51"/>
    </row>
    <row r="33" spans="2:8" x14ac:dyDescent="0.2">
      <c r="B33" s="19" t="s">
        <v>82</v>
      </c>
      <c r="C33" s="54">
        <f>C12/'Financial Model'!AA22</f>
        <v>13.471618843205112</v>
      </c>
      <c r="D33" s="55"/>
    </row>
    <row r="34" spans="2:8" x14ac:dyDescent="0.2">
      <c r="B34" s="19" t="s">
        <v>83</v>
      </c>
      <c r="C34" s="54">
        <f>C6/'Financial Model'!AA23</f>
        <v>10.068932086717085</v>
      </c>
      <c r="D34" s="55"/>
      <c r="H34" s="1" t="s">
        <v>11</v>
      </c>
    </row>
    <row r="35" spans="2:8" x14ac:dyDescent="0.2">
      <c r="B35" s="19" t="s">
        <v>84</v>
      </c>
      <c r="C35" s="56"/>
      <c r="D35" s="57"/>
      <c r="H35" s="1" t="s">
        <v>119</v>
      </c>
    </row>
    <row r="36" spans="2:8" x14ac:dyDescent="0.2">
      <c r="B36" s="19" t="s">
        <v>85</v>
      </c>
      <c r="C36" s="54">
        <f>C6/'Financial Model'!T73</f>
        <v>4.1363260534772177</v>
      </c>
      <c r="D36" s="55"/>
    </row>
    <row r="37" spans="2:8" x14ac:dyDescent="0.2">
      <c r="B37" s="19"/>
      <c r="C37" s="56"/>
      <c r="D37" s="57"/>
    </row>
    <row r="38" spans="2:8" x14ac:dyDescent="0.2">
      <c r="B38" s="19" t="s">
        <v>86</v>
      </c>
      <c r="C38" s="56"/>
      <c r="D38" s="57"/>
    </row>
    <row r="39" spans="2:8" x14ac:dyDescent="0.2">
      <c r="B39" s="19" t="s">
        <v>87</v>
      </c>
      <c r="C39" s="56"/>
      <c r="D39" s="57"/>
    </row>
    <row r="40" spans="2:8" x14ac:dyDescent="0.2">
      <c r="B40" s="20" t="s">
        <v>88</v>
      </c>
      <c r="C40" s="52"/>
      <c r="D40" s="53"/>
    </row>
  </sheetData>
  <mergeCells count="25">
    <mergeCell ref="R4:U4"/>
    <mergeCell ref="B22:D22"/>
    <mergeCell ref="C23:D23"/>
    <mergeCell ref="W4:Z4"/>
    <mergeCell ref="C33:D33"/>
    <mergeCell ref="C24:D24"/>
    <mergeCell ref="C25:D25"/>
    <mergeCell ref="C26:D26"/>
    <mergeCell ref="C27:D27"/>
    <mergeCell ref="C28:D28"/>
    <mergeCell ref="C29:D29"/>
    <mergeCell ref="B32:D32"/>
    <mergeCell ref="H4:P4"/>
    <mergeCell ref="C16:D16"/>
    <mergeCell ref="C17:D17"/>
    <mergeCell ref="C19:D19"/>
    <mergeCell ref="B5:D5"/>
    <mergeCell ref="B15:D15"/>
    <mergeCell ref="C40:D40"/>
    <mergeCell ref="C34:D34"/>
    <mergeCell ref="C35:D35"/>
    <mergeCell ref="C36:D36"/>
    <mergeCell ref="C37:D37"/>
    <mergeCell ref="C38:D38"/>
    <mergeCell ref="C39:D39"/>
  </mergeCells>
  <hyperlinks>
    <hyperlink ref="C29:D29" r:id="rId1" display="Link" xr:uid="{12A2B318-E58C-4145-8299-C01CCCEE70D1}"/>
    <hyperlink ref="P7" r:id="rId2" xr:uid="{459BEFFC-40F1-49A2-A3EA-13D4F85DB14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6757-89A0-4DD3-86DD-75EFD4F61FA8}">
  <dimension ref="B1:AN77"/>
  <sheetViews>
    <sheetView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W8" sqref="W8"/>
    </sheetView>
  </sheetViews>
  <sheetFormatPr defaultRowHeight="12.75" x14ac:dyDescent="0.2"/>
  <cols>
    <col min="1" max="1" width="9.140625" style="1"/>
    <col min="2" max="2" width="23.28515625" style="1" bestFit="1" customWidth="1"/>
    <col min="3" max="16384" width="9.140625" style="1"/>
  </cols>
  <sheetData>
    <row r="1" spans="2:40" s="21" customFormat="1" x14ac:dyDescent="0.2">
      <c r="D1" s="21" t="s">
        <v>39</v>
      </c>
      <c r="E1" s="21" t="s">
        <v>40</v>
      </c>
      <c r="F1" s="21" t="s">
        <v>41</v>
      </c>
      <c r="G1" s="21" t="s">
        <v>42</v>
      </c>
      <c r="H1" s="21" t="s">
        <v>43</v>
      </c>
      <c r="I1" s="21" t="s">
        <v>44</v>
      </c>
      <c r="J1" s="21" t="s">
        <v>45</v>
      </c>
      <c r="K1" s="21" t="s">
        <v>46</v>
      </c>
      <c r="L1" s="21" t="s">
        <v>47</v>
      </c>
      <c r="M1" s="21" t="s">
        <v>48</v>
      </c>
      <c r="N1" s="21" t="s">
        <v>49</v>
      </c>
      <c r="O1" s="21" t="s">
        <v>50</v>
      </c>
      <c r="P1" s="21" t="s">
        <v>51</v>
      </c>
      <c r="Q1" s="21" t="s">
        <v>52</v>
      </c>
      <c r="R1" s="21" t="s">
        <v>53</v>
      </c>
      <c r="S1" s="21" t="s">
        <v>54</v>
      </c>
      <c r="T1" s="32" t="s">
        <v>89</v>
      </c>
      <c r="U1" s="21" t="s">
        <v>150</v>
      </c>
      <c r="W1" s="21" t="s">
        <v>55</v>
      </c>
      <c r="X1" s="21" t="s">
        <v>56</v>
      </c>
      <c r="Y1" s="32" t="s">
        <v>57</v>
      </c>
      <c r="Z1" s="21" t="s">
        <v>58</v>
      </c>
      <c r="AA1" s="32" t="s">
        <v>59</v>
      </c>
      <c r="AB1" s="21" t="s">
        <v>60</v>
      </c>
      <c r="AC1" s="21" t="s">
        <v>61</v>
      </c>
      <c r="AD1" s="21" t="s">
        <v>62</v>
      </c>
      <c r="AE1" s="21" t="s">
        <v>63</v>
      </c>
      <c r="AF1" s="21" t="s">
        <v>64</v>
      </c>
      <c r="AG1" s="21" t="s">
        <v>65</v>
      </c>
      <c r="AH1" s="21" t="s">
        <v>66</v>
      </c>
      <c r="AI1" s="21" t="s">
        <v>67</v>
      </c>
      <c r="AJ1" s="21" t="s">
        <v>68</v>
      </c>
      <c r="AK1" s="21" t="s">
        <v>69</v>
      </c>
      <c r="AL1" s="21" t="s">
        <v>70</v>
      </c>
      <c r="AM1" s="21" t="s">
        <v>71</v>
      </c>
      <c r="AN1" s="21" t="s">
        <v>72</v>
      </c>
    </row>
    <row r="2" spans="2:40" s="23" customFormat="1" x14ac:dyDescent="0.2">
      <c r="B2" s="22"/>
      <c r="K2" s="33"/>
      <c r="O2" s="33">
        <v>44286</v>
      </c>
      <c r="P2" s="33">
        <v>44745</v>
      </c>
      <c r="S2" s="33">
        <v>44651</v>
      </c>
      <c r="T2" s="33">
        <v>44744</v>
      </c>
      <c r="Y2" s="33">
        <v>43918</v>
      </c>
      <c r="Z2" s="33">
        <v>44286</v>
      </c>
      <c r="AA2" s="33">
        <v>44651</v>
      </c>
    </row>
    <row r="3" spans="2:40" s="34" customFormat="1" x14ac:dyDescent="0.2">
      <c r="B3" s="44" t="s">
        <v>23</v>
      </c>
      <c r="O3" s="35">
        <v>990.5</v>
      </c>
      <c r="P3" s="35">
        <v>1019.9</v>
      </c>
      <c r="S3" s="35">
        <v>991.2</v>
      </c>
      <c r="T3" s="34">
        <v>946.8</v>
      </c>
      <c r="Y3" s="35">
        <v>4063.4</v>
      </c>
      <c r="Z3" s="35">
        <v>3465.7</v>
      </c>
      <c r="AA3" s="35">
        <v>4161.8999999999996</v>
      </c>
    </row>
    <row r="4" spans="2:40" s="34" customFormat="1" x14ac:dyDescent="0.2">
      <c r="B4" s="44" t="s">
        <v>92</v>
      </c>
      <c r="O4" s="35">
        <v>621</v>
      </c>
      <c r="P4" s="35">
        <v>366.2</v>
      </c>
      <c r="S4" s="35">
        <v>769.5</v>
      </c>
      <c r="T4" s="34">
        <v>481.1</v>
      </c>
      <c r="Y4" s="35">
        <v>2699.8</v>
      </c>
      <c r="Z4" s="35">
        <v>2457.4</v>
      </c>
      <c r="AA4" s="35">
        <v>3259.7</v>
      </c>
    </row>
    <row r="5" spans="2:40" s="34" customFormat="1" x14ac:dyDescent="0.2">
      <c r="B5" s="44" t="s">
        <v>19</v>
      </c>
      <c r="O5" s="35">
        <v>398.8</v>
      </c>
      <c r="P5" s="35">
        <v>249.4</v>
      </c>
      <c r="S5" s="35">
        <v>434.9</v>
      </c>
      <c r="T5" s="34">
        <v>269.5</v>
      </c>
      <c r="Y5" s="35">
        <v>1768.8</v>
      </c>
      <c r="Z5" s="35">
        <v>1513</v>
      </c>
      <c r="AA5" s="35">
        <v>1823.1</v>
      </c>
    </row>
    <row r="6" spans="2:40" s="34" customFormat="1" x14ac:dyDescent="0.2">
      <c r="B6" s="44" t="s">
        <v>29</v>
      </c>
      <c r="O6" s="35">
        <v>184.5</v>
      </c>
      <c r="P6" s="35">
        <v>199.3</v>
      </c>
      <c r="S6" s="35">
        <v>197</v>
      </c>
      <c r="T6" s="34">
        <v>170.4</v>
      </c>
      <c r="Y6" s="35">
        <v>645.1</v>
      </c>
      <c r="Z6" s="35">
        <v>701.5</v>
      </c>
      <c r="AA6" s="35">
        <v>837.7</v>
      </c>
    </row>
    <row r="7" spans="2:40" s="34" customFormat="1" x14ac:dyDescent="0.2">
      <c r="B7" s="44" t="s">
        <v>93</v>
      </c>
      <c r="O7" s="35">
        <v>387.9</v>
      </c>
      <c r="P7" s="35">
        <v>359.8</v>
      </c>
      <c r="S7" s="35">
        <v>432.1</v>
      </c>
      <c r="T7" s="34">
        <v>393.9</v>
      </c>
      <c r="Y7" s="35"/>
      <c r="Z7" s="35">
        <v>1101.2</v>
      </c>
      <c r="AA7" s="35">
        <v>1759.4</v>
      </c>
    </row>
    <row r="8" spans="2:40" s="3" customFormat="1" x14ac:dyDescent="0.2">
      <c r="B8" s="3" t="s">
        <v>94</v>
      </c>
      <c r="O8" s="36">
        <f>SUM(O3:O7)</f>
        <v>2582.7000000000003</v>
      </c>
      <c r="P8" s="36">
        <f>SUM(P3:P7)</f>
        <v>2194.6</v>
      </c>
      <c r="S8" s="36">
        <f>SUM(S3:S7)</f>
        <v>2824.7</v>
      </c>
      <c r="T8" s="36">
        <f>SUM(T3:T7)</f>
        <v>2261.7000000000003</v>
      </c>
      <c r="U8" s="36"/>
      <c r="Y8" s="36">
        <v>10488.556</v>
      </c>
      <c r="Z8" s="36">
        <f>SUM(Z3:Z7)</f>
        <v>9238.8000000000011</v>
      </c>
      <c r="AA8" s="36">
        <f>SUM(AA3:AA7)</f>
        <v>11841.8</v>
      </c>
    </row>
    <row r="9" spans="2:40" x14ac:dyDescent="0.2">
      <c r="B9" s="1" t="s">
        <v>97</v>
      </c>
      <c r="P9" s="42">
        <v>955.55100000000004</v>
      </c>
      <c r="S9" s="42"/>
      <c r="T9" s="42">
        <v>1042.982</v>
      </c>
      <c r="Y9" s="42">
        <v>4690.5200000000004</v>
      </c>
      <c r="Z9" s="42">
        <v>4370.78</v>
      </c>
      <c r="AA9" s="42">
        <v>5386.393</v>
      </c>
    </row>
    <row r="10" spans="2:40" s="3" customFormat="1" x14ac:dyDescent="0.2">
      <c r="B10" s="3" t="s">
        <v>98</v>
      </c>
      <c r="P10" s="36">
        <f>S8-P9</f>
        <v>1869.1489999999999</v>
      </c>
      <c r="S10" s="36"/>
      <c r="T10" s="36">
        <f>T8-T9</f>
        <v>1218.7180000000003</v>
      </c>
      <c r="Y10" s="36">
        <f>Y8-Y9</f>
        <v>5798.0360000000001</v>
      </c>
      <c r="Z10" s="36">
        <f>Z8-Z9</f>
        <v>4868.0200000000013</v>
      </c>
      <c r="AA10" s="36">
        <f>AA8-AA9</f>
        <v>6455.4069999999992</v>
      </c>
    </row>
    <row r="11" spans="2:40" x14ac:dyDescent="0.2">
      <c r="B11" s="1" t="s">
        <v>99</v>
      </c>
      <c r="P11" s="42">
        <v>1036.1220000000001</v>
      </c>
      <c r="T11" s="42">
        <v>1155.251</v>
      </c>
      <c r="Y11" s="42">
        <v>4547.0079999999998</v>
      </c>
      <c r="Z11" s="42">
        <v>4240.058</v>
      </c>
      <c r="AA11" s="42">
        <v>4823.2430000000004</v>
      </c>
    </row>
    <row r="12" spans="2:40" x14ac:dyDescent="0.2">
      <c r="B12" s="1" t="s">
        <v>100</v>
      </c>
      <c r="P12" s="42">
        <v>0</v>
      </c>
      <c r="T12" s="1">
        <v>0</v>
      </c>
      <c r="Y12" s="42">
        <v>323.22300000000001</v>
      </c>
      <c r="Z12" s="42">
        <v>20.361000000000001</v>
      </c>
      <c r="AA12" s="42">
        <v>0</v>
      </c>
    </row>
    <row r="13" spans="2:40" s="3" customFormat="1" x14ac:dyDescent="0.2">
      <c r="B13" s="3" t="s">
        <v>101</v>
      </c>
      <c r="P13" s="36">
        <f>P10-P11-P12</f>
        <v>833.02699999999982</v>
      </c>
      <c r="T13" s="36">
        <f>T10-T11-T12</f>
        <v>63.467000000000326</v>
      </c>
      <c r="Y13" s="36">
        <f>Y10-Y11-Y12</f>
        <v>927.80500000000029</v>
      </c>
      <c r="Z13" s="36">
        <f>Z10-Z11-Z12</f>
        <v>607.60100000000136</v>
      </c>
      <c r="AA13" s="36">
        <f>AA10-AA11-AA12</f>
        <v>1632.1639999999989</v>
      </c>
    </row>
    <row r="14" spans="2:40" x14ac:dyDescent="0.2">
      <c r="B14" s="1" t="s">
        <v>102</v>
      </c>
      <c r="P14" s="42">
        <v>0</v>
      </c>
      <c r="T14" s="1">
        <v>0</v>
      </c>
      <c r="Y14" s="42">
        <v>19.867000000000001</v>
      </c>
      <c r="Z14" s="42">
        <v>9.1549999999999994</v>
      </c>
      <c r="AA14" s="42">
        <v>5.0060000000000002</v>
      </c>
    </row>
    <row r="15" spans="2:40" x14ac:dyDescent="0.2">
      <c r="B15" s="1" t="s">
        <v>103</v>
      </c>
      <c r="P15" s="42">
        <v>32.774999999999999</v>
      </c>
      <c r="T15" s="1">
        <v>31.262</v>
      </c>
      <c r="Y15" s="42">
        <v>92.042000000000002</v>
      </c>
      <c r="Z15" s="42">
        <v>135.655</v>
      </c>
      <c r="AA15" s="42">
        <v>136.46899999999999</v>
      </c>
    </row>
    <row r="16" spans="2:40" x14ac:dyDescent="0.2">
      <c r="B16" s="1" t="s">
        <v>104</v>
      </c>
      <c r="P16" s="42">
        <v>0</v>
      </c>
      <c r="T16" s="1">
        <v>0</v>
      </c>
      <c r="Y16" s="42">
        <v>59.771999999999998</v>
      </c>
      <c r="Z16" s="42">
        <v>0</v>
      </c>
      <c r="AA16" s="42">
        <v>3.645</v>
      </c>
    </row>
    <row r="17" spans="2:27" x14ac:dyDescent="0.2">
      <c r="B17" s="1" t="s">
        <v>105</v>
      </c>
      <c r="P17" s="42">
        <v>9.0410000000000004</v>
      </c>
      <c r="T17" s="1">
        <v>-94.713999999999999</v>
      </c>
      <c r="Y17" s="42">
        <v>-68.650000000000006</v>
      </c>
      <c r="Z17" s="42">
        <v>-24.658999999999999</v>
      </c>
      <c r="AA17" s="42">
        <v>26.154</v>
      </c>
    </row>
    <row r="18" spans="2:27" x14ac:dyDescent="0.2">
      <c r="B18" s="1" t="s">
        <v>106</v>
      </c>
      <c r="P18" s="42">
        <f>P13+P14-P15-P16+P17</f>
        <v>809.29299999999989</v>
      </c>
      <c r="T18" s="42">
        <f>T13+T14-T15-T16+T17</f>
        <v>-62.508999999999673</v>
      </c>
      <c r="Y18" s="42">
        <f>Y13+Y14-Y15-Y16+Y17</f>
        <v>727.2080000000002</v>
      </c>
      <c r="Z18" s="42">
        <f>Z13+Z14-Z15-Z16+Z17</f>
        <v>456.44200000000137</v>
      </c>
      <c r="AA18" s="42">
        <f>AA13+AA14-AA15-AA16+AA17</f>
        <v>1523.2099999999989</v>
      </c>
    </row>
    <row r="19" spans="2:27" x14ac:dyDescent="0.2">
      <c r="B19" s="1" t="s">
        <v>107</v>
      </c>
      <c r="P19" s="42">
        <v>25.178000000000001</v>
      </c>
      <c r="T19" s="1">
        <v>-6.6539999999999999</v>
      </c>
      <c r="Y19" s="42">
        <v>98.061999999999998</v>
      </c>
      <c r="Z19" s="42">
        <v>101.556</v>
      </c>
      <c r="AA19" s="42">
        <v>306.98099999999999</v>
      </c>
    </row>
    <row r="20" spans="2:27" x14ac:dyDescent="0.2">
      <c r="B20" s="1" t="s">
        <v>148</v>
      </c>
      <c r="P20" s="42">
        <v>153.97200000000001</v>
      </c>
      <c r="T20" s="42">
        <f>T18-T19</f>
        <v>-55.854999999999677</v>
      </c>
      <c r="Y20" s="42">
        <f>Y18-Y19</f>
        <v>629.14600000000019</v>
      </c>
      <c r="Z20" s="42">
        <f>Z18-Z19</f>
        <v>354.88600000000139</v>
      </c>
      <c r="AA20" s="42">
        <f>AA18-AA19</f>
        <v>1216.2289999999989</v>
      </c>
    </row>
    <row r="21" spans="2:27" x14ac:dyDescent="0.2">
      <c r="B21" s="1" t="s">
        <v>149</v>
      </c>
      <c r="P21" s="42">
        <v>170.273</v>
      </c>
      <c r="T21" s="1">
        <v>0</v>
      </c>
      <c r="Y21" s="42">
        <v>50.302999999999997</v>
      </c>
      <c r="Z21" s="42">
        <v>52.963000000000001</v>
      </c>
      <c r="AA21" s="42">
        <v>170.672</v>
      </c>
    </row>
    <row r="22" spans="2:27" s="3" customFormat="1" x14ac:dyDescent="0.2">
      <c r="B22" s="3" t="s">
        <v>108</v>
      </c>
      <c r="P22" s="36">
        <f>P20+P21</f>
        <v>324.245</v>
      </c>
      <c r="T22" s="36">
        <f>T20+T21</f>
        <v>-55.854999999999677</v>
      </c>
      <c r="Y22" s="36">
        <f>Y20+Y21</f>
        <v>679.44900000000018</v>
      </c>
      <c r="Z22" s="36">
        <f>Z20+Z21</f>
        <v>407.84900000000141</v>
      </c>
      <c r="AA22" s="36">
        <f>AA20+AA21</f>
        <v>1386.9009999999989</v>
      </c>
    </row>
    <row r="23" spans="2:27" x14ac:dyDescent="0.2">
      <c r="B23" s="1" t="s">
        <v>109</v>
      </c>
      <c r="P23" s="47">
        <f>P22/P24</f>
        <v>0.82852733224138941</v>
      </c>
      <c r="T23" s="47">
        <f>T22/T24</f>
        <v>-0.14411850460441186</v>
      </c>
      <c r="Y23" s="42">
        <f>Y22/Y24</f>
        <v>1.7183361110338362</v>
      </c>
      <c r="Z23" s="42">
        <f>Z22/Z24</f>
        <v>1.0466925870321218</v>
      </c>
      <c r="AA23" s="45">
        <f>AA22/AA24</f>
        <v>3.5535049488714803</v>
      </c>
    </row>
    <row r="24" spans="2:27" x14ac:dyDescent="0.2">
      <c r="B24" s="1" t="s">
        <v>4</v>
      </c>
      <c r="P24" s="42">
        <v>391.351</v>
      </c>
      <c r="T24" s="42">
        <v>387.56299999999999</v>
      </c>
      <c r="Y24" s="42">
        <v>395.411</v>
      </c>
      <c r="Z24" s="42">
        <v>389.65499999999997</v>
      </c>
      <c r="AA24" s="46">
        <v>390.291</v>
      </c>
    </row>
    <row r="26" spans="2:27" s="3" customFormat="1" x14ac:dyDescent="0.2">
      <c r="B26" s="3" t="s">
        <v>95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>
        <f>S8/O8-1</f>
        <v>9.3700391063615385E-2</v>
      </c>
      <c r="T26" s="37">
        <f>T8/P8-1</f>
        <v>3.057504784470999E-2</v>
      </c>
      <c r="U26" s="37"/>
      <c r="V26" s="37"/>
      <c r="W26" s="37"/>
      <c r="X26" s="37"/>
      <c r="Y26" s="37"/>
      <c r="Z26" s="37">
        <f>Z8/Y8-1</f>
        <v>-0.11915424773438776</v>
      </c>
      <c r="AA26" s="37">
        <f>AA8/Z8-1</f>
        <v>0.28174654717062797</v>
      </c>
    </row>
    <row r="27" spans="2:27" s="34" customFormat="1" x14ac:dyDescent="0.2">
      <c r="B27" s="44" t="s">
        <v>23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>
        <f>S3/O3-1</f>
        <v>7.0671378091868853E-4</v>
      </c>
      <c r="T27" s="41">
        <f>T3/P3-1</f>
        <v>-7.1673693499362701E-2</v>
      </c>
      <c r="U27" s="41"/>
      <c r="V27" s="41"/>
      <c r="W27" s="41"/>
      <c r="X27" s="41"/>
      <c r="Y27" s="41"/>
      <c r="Z27" s="41">
        <f>Z3/Y3-1</f>
        <v>-0.14709356696362663</v>
      </c>
      <c r="AA27" s="41">
        <f>AA3/Z3-1</f>
        <v>0.20088293851170036</v>
      </c>
    </row>
    <row r="28" spans="2:27" s="34" customFormat="1" x14ac:dyDescent="0.2">
      <c r="B28" s="44" t="s">
        <v>92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>
        <f t="shared" ref="S28:T30" si="0">S4/O4-1</f>
        <v>0.23913043478260865</v>
      </c>
      <c r="T28" s="41">
        <f t="shared" si="0"/>
        <v>0.31376297105406903</v>
      </c>
      <c r="U28" s="41"/>
      <c r="V28" s="41"/>
      <c r="W28" s="41"/>
      <c r="X28" s="41"/>
      <c r="Y28" s="41"/>
      <c r="Z28" s="41">
        <f t="shared" ref="Z28:AA31" si="1">Z4/Y4-1</f>
        <v>-8.9784428476183398E-2</v>
      </c>
      <c r="AA28" s="41">
        <f t="shared" si="1"/>
        <v>0.32648327500610397</v>
      </c>
    </row>
    <row r="29" spans="2:27" s="34" customFormat="1" x14ac:dyDescent="0.2">
      <c r="B29" s="44" t="s">
        <v>19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>
        <f t="shared" si="0"/>
        <v>9.0521564694082235E-2</v>
      </c>
      <c r="T29" s="41">
        <f t="shared" si="0"/>
        <v>8.0593424218123433E-2</v>
      </c>
      <c r="U29" s="41"/>
      <c r="V29" s="41"/>
      <c r="W29" s="41"/>
      <c r="X29" s="41"/>
      <c r="Y29" s="41"/>
      <c r="Z29" s="41">
        <f t="shared" si="1"/>
        <v>-0.14461781999095424</v>
      </c>
      <c r="AA29" s="41">
        <f t="shared" si="1"/>
        <v>0.20495703899537343</v>
      </c>
    </row>
    <row r="30" spans="2:27" s="34" customFormat="1" x14ac:dyDescent="0.2">
      <c r="B30" s="44" t="s">
        <v>29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>
        <f t="shared" si="0"/>
        <v>6.7750677506775103E-2</v>
      </c>
      <c r="T30" s="41">
        <f t="shared" si="0"/>
        <v>-0.14500752634219771</v>
      </c>
      <c r="U30" s="41"/>
      <c r="V30" s="41"/>
      <c r="W30" s="41"/>
      <c r="X30" s="41"/>
      <c r="Y30" s="41"/>
      <c r="Z30" s="41">
        <f t="shared" si="1"/>
        <v>8.7428305689040364E-2</v>
      </c>
      <c r="AA30" s="41">
        <f t="shared" si="1"/>
        <v>0.19415538132573062</v>
      </c>
    </row>
    <row r="31" spans="2:27" s="34" customFormat="1" x14ac:dyDescent="0.2">
      <c r="B31" s="44" t="s">
        <v>93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>
        <f t="shared" ref="S31:T31" si="2">S7/O7-1</f>
        <v>0.11394689352926024</v>
      </c>
      <c r="T31" s="41">
        <f t="shared" si="2"/>
        <v>9.4774874930516839E-2</v>
      </c>
      <c r="U31" s="41"/>
      <c r="V31" s="41"/>
      <c r="W31" s="41"/>
      <c r="X31" s="41"/>
      <c r="Y31" s="41"/>
      <c r="Z31" s="38" t="s">
        <v>146</v>
      </c>
      <c r="AA31" s="41">
        <f t="shared" si="1"/>
        <v>0.59771158735924446</v>
      </c>
    </row>
    <row r="32" spans="2:27" x14ac:dyDescent="0.2">
      <c r="B32" s="1" t="s">
        <v>96</v>
      </c>
      <c r="W32" s="38" t="s">
        <v>146</v>
      </c>
      <c r="X32" s="38" t="s">
        <v>146</v>
      </c>
      <c r="Y32" s="38" t="s">
        <v>146</v>
      </c>
      <c r="Z32" s="38" t="s">
        <v>146</v>
      </c>
      <c r="AA32" s="38" t="s">
        <v>146</v>
      </c>
    </row>
    <row r="35" spans="2:27" x14ac:dyDescent="0.2">
      <c r="B35" s="1" t="s">
        <v>110</v>
      </c>
      <c r="P35" s="39">
        <f>P10/P8</f>
        <v>0.85170372733072086</v>
      </c>
      <c r="T35" s="39">
        <f t="shared" ref="T35" si="3">T10/T8</f>
        <v>0.53885042224875102</v>
      </c>
      <c r="Y35" s="39">
        <f t="shared" ref="Y35" si="4">Y10/Y8</f>
        <v>0.55279640019083653</v>
      </c>
      <c r="Z35" s="39">
        <f>Z10/Z8</f>
        <v>0.5269104212668313</v>
      </c>
      <c r="AA35" s="39">
        <f>AA10/AA8</f>
        <v>0.54513731020621858</v>
      </c>
    </row>
    <row r="36" spans="2:27" x14ac:dyDescent="0.2">
      <c r="B36" s="1" t="s">
        <v>111</v>
      </c>
      <c r="P36" s="39">
        <f t="shared" ref="P36" si="5">P13/P8</f>
        <v>0.37958033354597642</v>
      </c>
      <c r="T36" s="39">
        <f t="shared" ref="T36" si="6">T13/T8</f>
        <v>2.8061635053278647E-2</v>
      </c>
      <c r="Y36" s="39">
        <f t="shared" ref="Y36:Z36" si="7">Y13/Y8</f>
        <v>8.8458792611680798E-2</v>
      </c>
      <c r="Z36" s="39">
        <f t="shared" si="7"/>
        <v>6.5766225050872554E-2</v>
      </c>
      <c r="AA36" s="39">
        <f>AA13/AA8</f>
        <v>0.13783073519228486</v>
      </c>
    </row>
    <row r="37" spans="2:27" x14ac:dyDescent="0.2">
      <c r="B37" s="1" t="s">
        <v>112</v>
      </c>
      <c r="P37" s="39">
        <f t="shared" ref="P37" si="8">P22/P8</f>
        <v>0.14774674200309854</v>
      </c>
      <c r="T37" s="39">
        <f t="shared" ref="T37" si="9">T22/T8</f>
        <v>-2.4696025113852268E-2</v>
      </c>
      <c r="Y37" s="39">
        <f t="shared" ref="Y37:Z37" si="10">Y22/Y8</f>
        <v>6.4780032637476517E-2</v>
      </c>
      <c r="Z37" s="39">
        <f t="shared" si="10"/>
        <v>4.4145235311945419E-2</v>
      </c>
      <c r="AA37" s="39">
        <f>AA22/AA8</f>
        <v>0.1171191035146683</v>
      </c>
    </row>
    <row r="38" spans="2:27" x14ac:dyDescent="0.2">
      <c r="B38" s="1" t="s">
        <v>113</v>
      </c>
      <c r="P38" s="39">
        <f t="shared" ref="P38" si="11">P19/P18</f>
        <v>3.1111105619349239E-2</v>
      </c>
      <c r="T38" s="39">
        <f t="shared" ref="T38" si="12">T19/T18</f>
        <v>0.10644867139132021</v>
      </c>
      <c r="Y38" s="39">
        <f t="shared" ref="Y38:Z38" si="13">Y19/Y18</f>
        <v>0.13484725140537504</v>
      </c>
      <c r="Z38" s="39">
        <f t="shared" si="13"/>
        <v>0.22249486243597147</v>
      </c>
      <c r="AA38" s="39">
        <f>AA19/AA18</f>
        <v>0.20153557290196375</v>
      </c>
    </row>
    <row r="39" spans="2:27" x14ac:dyDescent="0.2">
      <c r="S39" s="39"/>
      <c r="T39" s="39"/>
      <c r="Z39" s="39"/>
      <c r="AA39" s="39"/>
    </row>
    <row r="40" spans="2:27" x14ac:dyDescent="0.2">
      <c r="B40" s="43" t="s">
        <v>151</v>
      </c>
      <c r="S40" s="39"/>
      <c r="T40" s="39"/>
      <c r="Z40" s="39"/>
      <c r="AA40" s="39"/>
    </row>
    <row r="41" spans="2:27" s="48" customFormat="1" x14ac:dyDescent="0.2">
      <c r="B41" s="48" t="s">
        <v>152</v>
      </c>
      <c r="P41" s="48">
        <v>1364</v>
      </c>
      <c r="T41" s="48">
        <v>1297</v>
      </c>
    </row>
    <row r="44" spans="2:27" x14ac:dyDescent="0.2">
      <c r="B44" s="43" t="s">
        <v>118</v>
      </c>
    </row>
    <row r="45" spans="2:27" s="3" customFormat="1" x14ac:dyDescent="0.2">
      <c r="B45" s="3" t="s">
        <v>6</v>
      </c>
      <c r="P45" s="36">
        <v>1274.9259999999999</v>
      </c>
      <c r="T45" s="36">
        <v>528.029</v>
      </c>
      <c r="Z45" s="36">
        <v>815.75</v>
      </c>
      <c r="AA45" s="36">
        <v>1275.943</v>
      </c>
    </row>
    <row r="46" spans="2:27" x14ac:dyDescent="0.2">
      <c r="B46" s="1" t="s">
        <v>120</v>
      </c>
      <c r="P46" s="42">
        <v>1138.8109999999999</v>
      </c>
      <c r="T46" s="42">
        <v>1249.713</v>
      </c>
      <c r="Z46" s="42">
        <v>1298.02</v>
      </c>
      <c r="AA46" s="42">
        <v>1467.8420000000001</v>
      </c>
    </row>
    <row r="47" spans="2:27" s="3" customFormat="1" x14ac:dyDescent="0.2">
      <c r="B47" s="3" t="s">
        <v>121</v>
      </c>
      <c r="P47" s="36">
        <v>1216.818</v>
      </c>
      <c r="T47" s="36">
        <v>2341.395</v>
      </c>
      <c r="Z47" s="36">
        <v>1061.8389999999999</v>
      </c>
      <c r="AA47" s="36">
        <v>1418.673</v>
      </c>
    </row>
    <row r="48" spans="2:27" s="3" customFormat="1" x14ac:dyDescent="0.2">
      <c r="B48" s="3" t="s">
        <v>122</v>
      </c>
      <c r="P48" s="36">
        <v>598.80600000000004</v>
      </c>
      <c r="T48" s="36">
        <v>0</v>
      </c>
      <c r="Z48" s="36">
        <v>598.80600000000004</v>
      </c>
      <c r="AA48" s="36">
        <v>0</v>
      </c>
    </row>
    <row r="49" spans="2:27" x14ac:dyDescent="0.2">
      <c r="B49" s="1" t="s">
        <v>123</v>
      </c>
      <c r="P49" s="42">
        <v>334.77699999999999</v>
      </c>
      <c r="T49" s="42">
        <v>492.56900000000002</v>
      </c>
      <c r="Z49" s="42">
        <v>423.87700000000001</v>
      </c>
      <c r="AA49" s="42">
        <v>425.62200000000001</v>
      </c>
    </row>
    <row r="50" spans="2:27" x14ac:dyDescent="0.2">
      <c r="B50" s="1" t="s">
        <v>124</v>
      </c>
      <c r="P50" s="42">
        <v>0</v>
      </c>
      <c r="T50" s="42">
        <v>0</v>
      </c>
      <c r="Z50" s="42">
        <v>587.57799999999997</v>
      </c>
      <c r="AA50" s="42">
        <v>0</v>
      </c>
    </row>
    <row r="51" spans="2:27" x14ac:dyDescent="0.2">
      <c r="B51" s="1" t="s">
        <v>125</v>
      </c>
      <c r="P51" s="42">
        <f>SUM(P45:P50)</f>
        <v>4564.1380000000008</v>
      </c>
      <c r="T51" s="42">
        <f>SUM(T45:T50)</f>
        <v>4611.7060000000001</v>
      </c>
      <c r="Z51" s="42">
        <f>SUM(Z45:Z50)</f>
        <v>4785.8700000000008</v>
      </c>
      <c r="AA51" s="42">
        <f>SUM(AA45:AA50)</f>
        <v>4588.08</v>
      </c>
    </row>
    <row r="52" spans="2:27" x14ac:dyDescent="0.2">
      <c r="B52" s="1" t="s">
        <v>126</v>
      </c>
      <c r="P52" s="42">
        <v>1016.465</v>
      </c>
      <c r="T52" s="42">
        <v>1007.853</v>
      </c>
      <c r="Z52" s="42">
        <v>975.87599999999998</v>
      </c>
      <c r="AA52" s="42">
        <v>1041.777</v>
      </c>
    </row>
    <row r="53" spans="2:27" x14ac:dyDescent="0.2">
      <c r="B53" s="1" t="s">
        <v>127</v>
      </c>
      <c r="P53" s="42">
        <v>5455.21</v>
      </c>
      <c r="T53" s="42">
        <v>5343.6840000000002</v>
      </c>
      <c r="Z53" s="42">
        <f>3029.545+2425.4</f>
        <v>5454.9449999999997</v>
      </c>
      <c r="AA53" s="42">
        <f>3000.351+2393.8</f>
        <v>5394.1509999999998</v>
      </c>
    </row>
    <row r="54" spans="2:27" x14ac:dyDescent="0.2">
      <c r="B54" s="1" t="s">
        <v>128</v>
      </c>
      <c r="P54" s="42">
        <v>1426.7059999999999</v>
      </c>
      <c r="T54" s="42">
        <v>1227.462</v>
      </c>
      <c r="Z54" s="42">
        <v>1474.434</v>
      </c>
      <c r="AA54" s="42">
        <v>1247.056</v>
      </c>
    </row>
    <row r="55" spans="2:27" x14ac:dyDescent="0.2">
      <c r="B55" s="1" t="s">
        <v>129</v>
      </c>
      <c r="P55" s="42">
        <v>1087.8320000000001</v>
      </c>
      <c r="T55" s="42">
        <v>1021.048</v>
      </c>
      <c r="Z55" s="42">
        <v>1062.877</v>
      </c>
      <c r="AA55" s="42">
        <v>1071.1369999999999</v>
      </c>
    </row>
    <row r="56" spans="2:27" x14ac:dyDescent="0.2">
      <c r="B56" s="1" t="s">
        <v>130</v>
      </c>
      <c r="P56" s="42">
        <f>P51+SUM(P52:P55)</f>
        <v>13550.351000000001</v>
      </c>
      <c r="T56" s="42">
        <f>T51+SUM(T52:T55)</f>
        <v>13211.753000000001</v>
      </c>
      <c r="Z56" s="42">
        <f>Z51+SUM(Z52:Z55)</f>
        <v>13754.002</v>
      </c>
      <c r="AA56" s="42">
        <f>AA51+SUM(AA52:AA55)</f>
        <v>13342.201000000001</v>
      </c>
    </row>
    <row r="58" spans="2:27" s="3" customFormat="1" x14ac:dyDescent="0.2">
      <c r="B58" s="3" t="s">
        <v>131</v>
      </c>
      <c r="P58" s="36">
        <v>8.0909999999999993</v>
      </c>
      <c r="T58" s="36">
        <v>827.38</v>
      </c>
      <c r="Z58" s="36">
        <v>11.061</v>
      </c>
      <c r="AA58" s="36">
        <v>335.46199999999999</v>
      </c>
    </row>
    <row r="59" spans="2:27" x14ac:dyDescent="0.2">
      <c r="B59" s="1" t="s">
        <v>143</v>
      </c>
      <c r="P59" s="42">
        <v>1001.03</v>
      </c>
      <c r="T59" s="42">
        <v>1.0580000000000001</v>
      </c>
      <c r="Z59" s="42">
        <v>1.0229999999999999</v>
      </c>
      <c r="AA59" s="42">
        <v>501.05099999999999</v>
      </c>
    </row>
    <row r="60" spans="2:27" x14ac:dyDescent="0.2">
      <c r="B60" s="1" t="s">
        <v>132</v>
      </c>
      <c r="P60" s="42">
        <v>534.803</v>
      </c>
      <c r="T60" s="42">
        <v>1022.755</v>
      </c>
      <c r="Z60" s="42">
        <v>463.20800000000003</v>
      </c>
      <c r="AA60" s="42">
        <v>562.99199999999996</v>
      </c>
    </row>
    <row r="61" spans="2:27" x14ac:dyDescent="0.2">
      <c r="B61" s="1" t="s">
        <v>133</v>
      </c>
      <c r="P61" s="42">
        <v>1527.5219999999999</v>
      </c>
      <c r="T61" s="42">
        <v>1612.8040000000001</v>
      </c>
      <c r="Z61" s="42">
        <v>1609.9280000000001</v>
      </c>
      <c r="AA61" s="42">
        <v>1915.8920000000001</v>
      </c>
    </row>
    <row r="62" spans="2:27" x14ac:dyDescent="0.2">
      <c r="B62" s="1" t="s">
        <v>124</v>
      </c>
      <c r="P62" s="42">
        <v>0</v>
      </c>
      <c r="T62" s="42">
        <v>0</v>
      </c>
      <c r="Z62" s="1">
        <v>125.25700000000001</v>
      </c>
      <c r="AA62" s="1">
        <v>0</v>
      </c>
    </row>
    <row r="63" spans="2:27" x14ac:dyDescent="0.2">
      <c r="B63" s="1" t="s">
        <v>134</v>
      </c>
      <c r="P63" s="42">
        <f>SUM(P58:P62)</f>
        <v>3071.4459999999999</v>
      </c>
      <c r="T63" s="42">
        <f>SUM(T58:T62)</f>
        <v>3463.9970000000003</v>
      </c>
      <c r="Z63" s="42">
        <f>SUM(Z58:Z62)</f>
        <v>2210.4770000000003</v>
      </c>
      <c r="AA63" s="42">
        <f>SUM(AA58:AA62)</f>
        <v>3315.3969999999999</v>
      </c>
    </row>
    <row r="64" spans="2:27" s="3" customFormat="1" x14ac:dyDescent="0.2">
      <c r="B64" s="3" t="s">
        <v>135</v>
      </c>
      <c r="P64" s="36">
        <v>4726.2340000000004</v>
      </c>
      <c r="T64" s="36">
        <v>4468.3990000000003</v>
      </c>
      <c r="Z64" s="36">
        <v>5709.1490000000003</v>
      </c>
      <c r="AA64" s="36">
        <v>4584.2610000000004</v>
      </c>
    </row>
    <row r="65" spans="2:27" x14ac:dyDescent="0.2">
      <c r="B65" s="1" t="s">
        <v>136</v>
      </c>
      <c r="P65" s="42">
        <v>1192.7919999999999</v>
      </c>
      <c r="T65" s="42">
        <v>1006.274</v>
      </c>
      <c r="Z65" s="42">
        <v>1236.461</v>
      </c>
      <c r="AA65" s="42">
        <v>1023.759</v>
      </c>
    </row>
    <row r="66" spans="2:27" x14ac:dyDescent="0.2">
      <c r="B66" s="1" t="s">
        <v>137</v>
      </c>
      <c r="P66" s="42">
        <v>1285.8489999999999</v>
      </c>
      <c r="T66" s="42">
        <v>920.59</v>
      </c>
      <c r="Z66" s="42">
        <v>1541.778</v>
      </c>
      <c r="AA66" s="42">
        <v>888.43600000000004</v>
      </c>
    </row>
    <row r="67" spans="2:27" x14ac:dyDescent="0.2">
      <c r="B67" s="1" t="s">
        <v>138</v>
      </c>
      <c r="P67" s="42">
        <f>P63+P64+P65+P66</f>
        <v>10276.321</v>
      </c>
      <c r="T67" s="42">
        <f>T63+T64+T65+T66</f>
        <v>9859.26</v>
      </c>
      <c r="Z67" s="42">
        <f>Z63+Z64+Z65+Z66</f>
        <v>10697.865</v>
      </c>
      <c r="AA67" s="42">
        <f>AA63+AA64+AA65+AA66</f>
        <v>9811.853000000001</v>
      </c>
    </row>
    <row r="68" spans="2:27" x14ac:dyDescent="0.2">
      <c r="Z68" s="42"/>
      <c r="AA68" s="42"/>
    </row>
    <row r="69" spans="2:27" s="42" customFormat="1" x14ac:dyDescent="0.2">
      <c r="B69" s="42" t="s">
        <v>139</v>
      </c>
      <c r="P69" s="42">
        <v>3274.03</v>
      </c>
      <c r="T69" s="42">
        <v>3352.4929999999999</v>
      </c>
      <c r="Z69" s="42">
        <v>3056.1640000000002</v>
      </c>
      <c r="AA69" s="42">
        <v>3530.355</v>
      </c>
    </row>
    <row r="70" spans="2:27" x14ac:dyDescent="0.2">
      <c r="B70" s="1" t="s">
        <v>140</v>
      </c>
      <c r="P70" s="42">
        <f>P69+P67</f>
        <v>13550.351000000001</v>
      </c>
      <c r="T70" s="42">
        <f>T69+T67</f>
        <v>13211.753000000001</v>
      </c>
      <c r="Z70" s="42">
        <f>Z69+Z67</f>
        <v>13754.029</v>
      </c>
      <c r="AA70" s="42">
        <f>AA69+AA67</f>
        <v>13342.208000000001</v>
      </c>
    </row>
    <row r="72" spans="2:27" x14ac:dyDescent="0.2">
      <c r="B72" s="1" t="s">
        <v>141</v>
      </c>
      <c r="P72" s="42">
        <f>P56-P67</f>
        <v>3274.0300000000007</v>
      </c>
      <c r="T72" s="42">
        <f>T56-T67</f>
        <v>3352.4930000000004</v>
      </c>
      <c r="Z72" s="42">
        <f>Z56-Z67</f>
        <v>3056.1370000000006</v>
      </c>
      <c r="AA72" s="42">
        <f>AA56-AA67</f>
        <v>3530.348</v>
      </c>
    </row>
    <row r="73" spans="2:27" x14ac:dyDescent="0.2">
      <c r="B73" s="1" t="s">
        <v>142</v>
      </c>
      <c r="P73" s="42">
        <f>P72/P24</f>
        <v>8.3659681462421212</v>
      </c>
      <c r="T73" s="42">
        <f>T72/T24</f>
        <v>8.6501884854849411</v>
      </c>
      <c r="Z73" s="42">
        <f>Z72/Z24</f>
        <v>7.8431869217641266</v>
      </c>
      <c r="AA73" s="42">
        <f>AA72/AA24</f>
        <v>9.0454250802606264</v>
      </c>
    </row>
    <row r="76" spans="2:27" x14ac:dyDescent="0.2">
      <c r="B76" s="1" t="s">
        <v>145</v>
      </c>
      <c r="T76" s="39">
        <f>T47/P47-1</f>
        <v>0.9241949083593437</v>
      </c>
      <c r="AA76" s="39">
        <f>AA47/Z47-1</f>
        <v>0.33605282910121037</v>
      </c>
    </row>
    <row r="77" spans="2:27" s="34" customFormat="1" x14ac:dyDescent="0.2">
      <c r="B77" s="34" t="s">
        <v>147</v>
      </c>
      <c r="W77" s="40" t="s">
        <v>146</v>
      </c>
      <c r="X77" s="40" t="s">
        <v>146</v>
      </c>
      <c r="Y77" s="40" t="s">
        <v>146</v>
      </c>
      <c r="Z77" s="40" t="s">
        <v>146</v>
      </c>
      <c r="AA77" s="40" t="s">
        <v>146</v>
      </c>
    </row>
  </sheetData>
  <hyperlinks>
    <hyperlink ref="AA1" r:id="rId1" xr:uid="{E361DF71-81CD-44B3-92EA-C93A48C261DE}"/>
    <hyperlink ref="T1" r:id="rId2" xr:uid="{FD66D2D5-10E8-46D6-9236-49BEBA00F0EC}"/>
    <hyperlink ref="Y1" r:id="rId3" xr:uid="{62807AAA-DD69-44A4-AFA7-591172D41776}"/>
  </hyperlinks>
  <pageMargins left="0.7" right="0.7" top="0.75" bottom="0.75" header="0.3" footer="0.3"/>
  <pageSetup paperSize="256" orientation="portrait" horizontalDpi="203" verticalDpi="203" r:id="rId4"/>
  <ignoredErrors>
    <ignoredError sqref="O8:P8 S8:T8 Z8:AA8" formulaRange="1"/>
  </ignoredError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2022-07-25T11:47:45Z</dcterms:created>
  <dcterms:modified xsi:type="dcterms:W3CDTF">2022-09-26T12:26:52Z</dcterms:modified>
</cp:coreProperties>
</file>