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933825D-2559-45E8-891A-3BB7D9E8A03C}" xr6:coauthVersionLast="36" xr6:coauthVersionMax="47" xr10:uidLastSave="{00000000-0000-0000-0000-000000000000}"/>
  <bookViews>
    <workbookView xWindow="0" yWindow="495" windowWidth="33600" windowHeight="18900" xr2:uid="{5BB4D934-5E52-4F16-8511-45DA4E92E77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2" l="1"/>
  <c r="P28" i="2"/>
  <c r="R28" i="2"/>
  <c r="S5" i="2"/>
  <c r="S4" i="2"/>
  <c r="S3" i="2"/>
  <c r="S6" i="2"/>
  <c r="S7" i="2" s="1"/>
  <c r="S30" i="2" l="1"/>
  <c r="S8" i="2"/>
  <c r="S23" i="2" s="1"/>
  <c r="P30" i="2"/>
  <c r="P26" i="2"/>
  <c r="O26" i="2"/>
  <c r="P8" i="2"/>
  <c r="P23" i="2" s="1"/>
  <c r="O8" i="2"/>
  <c r="O12" i="2" s="1"/>
  <c r="F35" i="2"/>
  <c r="H35" i="2"/>
  <c r="H5" i="2"/>
  <c r="H4" i="2"/>
  <c r="H3" i="2"/>
  <c r="F5" i="2"/>
  <c r="F4" i="2"/>
  <c r="F3" i="2"/>
  <c r="C10" i="1"/>
  <c r="C9" i="1"/>
  <c r="P12" i="2" l="1"/>
  <c r="P16" i="2" s="1"/>
  <c r="P18" i="2" s="1"/>
  <c r="P25" i="2" s="1"/>
  <c r="O24" i="2"/>
  <c r="O16" i="2"/>
  <c r="O18" i="2" s="1"/>
  <c r="O25" i="2" s="1"/>
  <c r="P24" i="2"/>
  <c r="O23" i="2"/>
  <c r="R65" i="2"/>
  <c r="R73" i="2" s="1"/>
  <c r="R76" i="2" s="1"/>
  <c r="R43" i="2"/>
  <c r="R49" i="2" s="1"/>
  <c r="R56" i="2" s="1"/>
  <c r="F17" i="2"/>
  <c r="F26" i="2" s="1"/>
  <c r="F15" i="2"/>
  <c r="F14" i="2"/>
  <c r="F13" i="2"/>
  <c r="F11" i="2"/>
  <c r="F10" i="2"/>
  <c r="F9" i="2"/>
  <c r="F20" i="2"/>
  <c r="F7" i="2"/>
  <c r="F8" i="2" s="1"/>
  <c r="F23" i="2" s="1"/>
  <c r="F6" i="2"/>
  <c r="H17" i="2"/>
  <c r="H15" i="2"/>
  <c r="H14" i="2"/>
  <c r="H13" i="2"/>
  <c r="H11" i="2"/>
  <c r="H10" i="2"/>
  <c r="H9" i="2"/>
  <c r="H7" i="2"/>
  <c r="H20" i="2"/>
  <c r="H6" i="2"/>
  <c r="H8" i="2" s="1"/>
  <c r="Q26" i="2"/>
  <c r="Q8" i="2"/>
  <c r="Q12" i="2" s="1"/>
  <c r="Q16" i="2" s="1"/>
  <c r="Q18" i="2" s="1"/>
  <c r="Q25" i="2" s="1"/>
  <c r="R26" i="2"/>
  <c r="R8" i="2"/>
  <c r="R12" i="2" s="1"/>
  <c r="H26" i="2" l="1"/>
  <c r="R23" i="2"/>
  <c r="R24" i="2"/>
  <c r="R16" i="2"/>
  <c r="R18" i="2" s="1"/>
  <c r="H12" i="2"/>
  <c r="H24" i="2" s="1"/>
  <c r="H23" i="2"/>
  <c r="Q23" i="2"/>
  <c r="Q19" i="2"/>
  <c r="Q24" i="2"/>
  <c r="F12" i="2"/>
  <c r="G65" i="2"/>
  <c r="G73" i="2" s="1"/>
  <c r="G76" i="2" s="1"/>
  <c r="G43" i="2"/>
  <c r="G49" i="2" s="1"/>
  <c r="G56" i="2" s="1"/>
  <c r="E26" i="2"/>
  <c r="G26" i="2"/>
  <c r="E8" i="2"/>
  <c r="E12" i="2" s="1"/>
  <c r="G8" i="2"/>
  <c r="G12" i="2" s="1"/>
  <c r="G24" i="2" s="1"/>
  <c r="E23" i="2" l="1"/>
  <c r="F16" i="2"/>
  <c r="F18" i="2" s="1"/>
  <c r="F24" i="2"/>
  <c r="R19" i="2"/>
  <c r="R25" i="2"/>
  <c r="H16" i="2"/>
  <c r="H18" i="2" s="1"/>
  <c r="E16" i="2"/>
  <c r="E18" i="2" s="1"/>
  <c r="E24" i="2"/>
  <c r="G16" i="2"/>
  <c r="G18" i="2" s="1"/>
  <c r="G23" i="2"/>
  <c r="Q30" i="2"/>
  <c r="R30" i="2"/>
  <c r="G31" i="2"/>
  <c r="F31" i="2"/>
  <c r="H31" i="2"/>
  <c r="G30" i="2"/>
  <c r="H30" i="2"/>
  <c r="H19" i="2" l="1"/>
  <c r="H25" i="2"/>
  <c r="F19" i="2"/>
  <c r="F25" i="2"/>
  <c r="G19" i="2"/>
  <c r="G25" i="2"/>
  <c r="E25" i="2"/>
  <c r="E19" i="2"/>
  <c r="C8" i="1"/>
  <c r="C11" i="1"/>
  <c r="C12" i="1" l="1"/>
</calcChain>
</file>

<file path=xl/sharedStrings.xml><?xml version="1.0" encoding="utf-8"?>
<sst xmlns="http://schemas.openxmlformats.org/spreadsheetml/2006/main" count="193" uniqueCount="164">
  <si>
    <t>£CINE</t>
  </si>
  <si>
    <t>Cineworld Group Plc.</t>
  </si>
  <si>
    <t>Stock Overview</t>
  </si>
  <si>
    <t>Price</t>
  </si>
  <si>
    <t>Cash</t>
  </si>
  <si>
    <t>Shares</t>
  </si>
  <si>
    <t>MC</t>
  </si>
  <si>
    <t>Debt</t>
  </si>
  <si>
    <t>Net Cash</t>
  </si>
  <si>
    <t>EV</t>
  </si>
  <si>
    <t>Management</t>
  </si>
  <si>
    <t>CEO</t>
  </si>
  <si>
    <t>Key Events</t>
  </si>
  <si>
    <t>Profile</t>
  </si>
  <si>
    <t>H120</t>
  </si>
  <si>
    <t>H220</t>
  </si>
  <si>
    <t>H121</t>
  </si>
  <si>
    <t>H221</t>
  </si>
  <si>
    <t>H122</t>
  </si>
  <si>
    <t>H222</t>
  </si>
  <si>
    <t>H219</t>
  </si>
  <si>
    <t>H119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</si>
  <si>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</si>
  <si>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</si>
  <si>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</si>
  <si>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</si>
  <si>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</si>
  <si>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</si>
  <si>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</si>
  <si>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</si>
  <si>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</si>
  <si>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</si>
  <si>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</si>
  <si>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</si>
  <si>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</si>
  <si>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</si>
  <si>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</si>
  <si>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Dep CEO</t>
  </si>
  <si>
    <t>(Projected)</t>
  </si>
  <si>
    <t>Notes</t>
  </si>
  <si>
    <t>#2 Top shorted UK listed share</t>
  </si>
  <si>
    <t>Gross Margin</t>
  </si>
  <si>
    <t>Operating Margin</t>
  </si>
  <si>
    <t>Net Margin</t>
  </si>
  <si>
    <t>Taxes</t>
  </si>
  <si>
    <t>Revenue Y/Y</t>
  </si>
  <si>
    <t>Revenue H/H</t>
  </si>
  <si>
    <t>Revenue</t>
  </si>
  <si>
    <t>-</t>
  </si>
  <si>
    <t>Balance Sheet</t>
  </si>
  <si>
    <t>FY34</t>
  </si>
  <si>
    <t>FY35</t>
  </si>
  <si>
    <t>FY36</t>
  </si>
  <si>
    <t>FY37</t>
  </si>
  <si>
    <t>FY38</t>
  </si>
  <si>
    <t>Cineworld announce proposed acquisition of Cineplex Entertainment for $2.1bn</t>
  </si>
  <si>
    <t>The deal would have made it North America's largest cinema chain</t>
  </si>
  <si>
    <t>Cineworld terminate the purchase agreement causing Cineplex to sue Cineworld over</t>
  </si>
  <si>
    <t xml:space="preserve">the aborted purchase </t>
  </si>
  <si>
    <t>Cineworld announce they plan to appeal decision</t>
  </si>
  <si>
    <t>Ontario Court of Superior Justice order Cineworld to pay damages of $1.23bn CAD</t>
  </si>
  <si>
    <t>cinema chain in the world</t>
  </si>
  <si>
    <t>HQ</t>
  </si>
  <si>
    <t>Brentford, UK</t>
  </si>
  <si>
    <t>Founded</t>
  </si>
  <si>
    <t>Chains/Brands</t>
  </si>
  <si>
    <t>Regal</t>
  </si>
  <si>
    <t>United Artists</t>
  </si>
  <si>
    <t>Edwards Theatres</t>
  </si>
  <si>
    <t>Cineworld</t>
  </si>
  <si>
    <t>Picturehouse</t>
  </si>
  <si>
    <t>Cinema City</t>
  </si>
  <si>
    <t>Yes Planet</t>
  </si>
  <si>
    <t>Rav-Chen</t>
  </si>
  <si>
    <t>Screens</t>
  </si>
  <si>
    <t>Sites</t>
  </si>
  <si>
    <t xml:space="preserve">CEO "consumed with becoming worlds #1 </t>
  </si>
  <si>
    <r>
      <t>cinema chain in the world" -</t>
    </r>
    <r>
      <rPr>
        <i/>
        <sz val="10"/>
        <color theme="1"/>
        <rFont val="Arial"/>
        <family val="2"/>
      </rPr>
      <t>Globes 2020</t>
    </r>
  </si>
  <si>
    <t>This decision caused share price to fall by 30% overnight (CAD -&gt; £730m)</t>
  </si>
  <si>
    <t xml:space="preserve">Cineworld considers dual-US listing for it's US based "Regal" business </t>
  </si>
  <si>
    <t>Chair</t>
  </si>
  <si>
    <t>COO</t>
  </si>
  <si>
    <t>over aborted Cineplex Ent. Bid</t>
  </si>
  <si>
    <t>Cineworld fined £720m by Canadian court</t>
  </si>
  <si>
    <t>Israel</t>
  </si>
  <si>
    <t>US</t>
  </si>
  <si>
    <t>UK/IE</t>
  </si>
  <si>
    <t>COGS</t>
  </si>
  <si>
    <t>Gross Profit</t>
  </si>
  <si>
    <t>Other Income</t>
  </si>
  <si>
    <t>Administrative</t>
  </si>
  <si>
    <t>Operating Income</t>
  </si>
  <si>
    <t>Finance Income</t>
  </si>
  <si>
    <t>Finance Expenses</t>
  </si>
  <si>
    <t>Pretax Income</t>
  </si>
  <si>
    <t>Net Income</t>
  </si>
  <si>
    <t>EPS</t>
  </si>
  <si>
    <t>(30/06/21)</t>
  </si>
  <si>
    <t>Reversals/(Impairments)</t>
  </si>
  <si>
    <t xml:space="preserve">SOL of Jointly Controlled Entity </t>
  </si>
  <si>
    <t>(30/06/20)</t>
  </si>
  <si>
    <t>PP&amp;E</t>
  </si>
  <si>
    <t>ROU Assets</t>
  </si>
  <si>
    <t>Goodwill + Intangibles</t>
  </si>
  <si>
    <t>Investment in equity investee</t>
  </si>
  <si>
    <t>Financial Assets at FVOCI</t>
  </si>
  <si>
    <t>Deferred Taxes</t>
  </si>
  <si>
    <t>Fair value of financial derivatives</t>
  </si>
  <si>
    <t>Other recievables</t>
  </si>
  <si>
    <t>Total NCA</t>
  </si>
  <si>
    <t>Assets held-for-sale</t>
  </si>
  <si>
    <t>Inventories</t>
  </si>
  <si>
    <t>Trade &amp; A/R</t>
  </si>
  <si>
    <t>Current Tax Receivables</t>
  </si>
  <si>
    <t>Restricted Cash</t>
  </si>
  <si>
    <t>Assets</t>
  </si>
  <si>
    <t>Loans &amp; Borrowings</t>
  </si>
  <si>
    <t>Fair Value of Financial Derivatives</t>
  </si>
  <si>
    <t>Lease Liabilities</t>
  </si>
  <si>
    <t>Trade &amp; A/P</t>
  </si>
  <si>
    <t>Deferred Revenue</t>
  </si>
  <si>
    <t>Current Taxes Payable</t>
  </si>
  <si>
    <t>Provisions</t>
  </si>
  <si>
    <t>Total Current Liabilities</t>
  </si>
  <si>
    <t>Other Payables</t>
  </si>
  <si>
    <t>Employee Benefits</t>
  </si>
  <si>
    <t>Liabilities</t>
  </si>
  <si>
    <t>S/E</t>
  </si>
  <si>
    <t>S/E+L</t>
  </si>
  <si>
    <t>(31/12/21)</t>
  </si>
  <si>
    <t>(31/12/20)</t>
  </si>
  <si>
    <t>Link</t>
  </si>
  <si>
    <t>court over 2010 merger. Fine TBD</t>
  </si>
  <si>
    <t>CEO was handed suspended sentence!</t>
  </si>
  <si>
    <t>conditions dating back to 2010.</t>
  </si>
  <si>
    <t>Fine will be set in October. CEO handed suspended sentence</t>
  </si>
  <si>
    <t>Cineworld exit FTSE250 after share price crash due to COVID pandemic</t>
  </si>
  <si>
    <t>Mooky Greidinger</t>
  </si>
  <si>
    <t>Metrics</t>
  </si>
  <si>
    <t>Admissions</t>
  </si>
  <si>
    <t>Average Ticket Price</t>
  </si>
  <si>
    <t>Retail Spend Per Person</t>
  </si>
  <si>
    <t>$</t>
  </si>
  <si>
    <t>Box Office</t>
  </si>
  <si>
    <t>Retail</t>
  </si>
  <si>
    <t>USDGBP</t>
  </si>
  <si>
    <t>FY18</t>
  </si>
  <si>
    <t>(31/12/19)</t>
  </si>
  <si>
    <t>m</t>
  </si>
  <si>
    <t>(31/12/18)</t>
  </si>
  <si>
    <t>FY17</t>
  </si>
  <si>
    <t>(USD Millions)</t>
  </si>
  <si>
    <t>Currently Cineworld is the second largest</t>
  </si>
  <si>
    <t>Cineworld CEO Mooky Greidinger found guilty by Israeli court of infringing merger</t>
  </si>
  <si>
    <t>Cineworld CEO found guilty by Israeli</t>
  </si>
  <si>
    <t>"In the event that Cineworld is unsuccessful on appeal the group would not have sufficient liquidity to pay the existing level of damages awarded"</t>
  </si>
  <si>
    <t>FY16</t>
  </si>
  <si>
    <t>Cashflow Statement</t>
  </si>
  <si>
    <t>Model NI</t>
  </si>
  <si>
    <t>Reported NI</t>
  </si>
  <si>
    <t>IR</t>
  </si>
  <si>
    <t>Retail Y/Y</t>
  </si>
  <si>
    <t>Box Office Y/Y (H/H)</t>
  </si>
  <si>
    <t>WSJ report breaks news that CINE is preparing to file for bankruptcy, shares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</si>
</sst>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i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theme="1"/>
      <name val="Arial"/>
      <family val="2"/>
    </font>
    <font>
      <i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2" fillId="0" borderId="7" xfId="0" applyNumberFormat="1" applyFont="1" applyBorder="1"/>
    <xf numFmtId="0" fontId="2" fillId="0" borderId="8" xfId="0" applyFont="1" applyBorder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2" applyFont="1" applyAlignment="1">
      <alignment horizontal="right"/>
    </xf>
    <xf numFmtId="0" fontId="4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2" fillId="5" borderId="0" xfId="0" applyFont="1" applyFill="1"/>
    <xf numFmtId="0" fontId="10" fillId="4" borderId="4" xfId="2" applyFont="1" applyFill="1" applyBorder="1"/>
    <xf numFmtId="9" fontId="2" fillId="5" borderId="0" xfId="1" applyFont="1" applyFill="1"/>
    <xf numFmtId="0" fontId="2" fillId="0" borderId="0" xfId="0" applyFont="1" applyFill="1"/>
    <xf numFmtId="9" fontId="2" fillId="0" borderId="0" xfId="1" applyFont="1" applyFill="1"/>
    <xf numFmtId="0" fontId="2" fillId="5" borderId="0" xfId="0" applyFont="1" applyFill="1" applyAlignment="1">
      <alignment horizontal="right"/>
    </xf>
    <xf numFmtId="9" fontId="2" fillId="0" borderId="0" xfId="1" applyFont="1"/>
    <xf numFmtId="164" fontId="4" fillId="0" borderId="0" xfId="0" applyNumberFormat="1" applyFont="1"/>
    <xf numFmtId="0" fontId="4" fillId="5" borderId="0" xfId="0" applyFont="1" applyFill="1"/>
    <xf numFmtId="0" fontId="11" fillId="0" borderId="0" xfId="0" applyFont="1"/>
    <xf numFmtId="0" fontId="2" fillId="4" borderId="0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4" fillId="3" borderId="4" xfId="0" applyFont="1" applyFill="1" applyBorder="1" applyAlignment="1">
      <alignment horizontal="center"/>
    </xf>
    <xf numFmtId="0" fontId="2" fillId="0" borderId="0" xfId="0" applyFont="1" applyAlignment="1"/>
    <xf numFmtId="0" fontId="4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left" indent="1"/>
    </xf>
    <xf numFmtId="0" fontId="13" fillId="4" borderId="4" xfId="0" applyFont="1" applyFill="1" applyBorder="1"/>
    <xf numFmtId="0" fontId="13" fillId="4" borderId="4" xfId="0" applyFont="1" applyFill="1" applyBorder="1" applyAlignment="1">
      <alignment horizontal="left" indent="1"/>
    </xf>
    <xf numFmtId="0" fontId="12" fillId="0" borderId="0" xfId="0" applyFont="1"/>
    <xf numFmtId="2" fontId="2" fillId="0" borderId="0" xfId="0" applyNumberFormat="1" applyFont="1"/>
    <xf numFmtId="0" fontId="2" fillId="0" borderId="5" xfId="0" applyFont="1" applyBorder="1" applyAlignment="1">
      <alignment horizontal="right"/>
    </xf>
    <xf numFmtId="4" fontId="2" fillId="0" borderId="0" xfId="0" applyNumberFormat="1" applyFont="1"/>
    <xf numFmtId="164" fontId="4" fillId="5" borderId="0" xfId="0" applyNumberFormat="1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9" fillId="4" borderId="5" xfId="2" applyFont="1" applyFill="1" applyBorder="1" applyAlignment="1">
      <alignment horizontal="right"/>
    </xf>
    <xf numFmtId="0" fontId="13" fillId="4" borderId="6" xfId="0" applyFont="1" applyFill="1" applyBorder="1" applyAlignment="1">
      <alignment horizontal="left" indent="1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5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2" fillId="7" borderId="11" xfId="0" applyFont="1" applyFill="1" applyBorder="1" applyAlignment="1">
      <alignment horizontal="center"/>
    </xf>
    <xf numFmtId="164" fontId="15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2" fontId="2" fillId="5" borderId="0" xfId="1" applyNumberFormat="1" applyFont="1" applyFill="1"/>
    <xf numFmtId="2" fontId="2" fillId="0" borderId="0" xfId="1" applyNumberFormat="1" applyFont="1" applyFill="1"/>
    <xf numFmtId="165" fontId="2" fillId="0" borderId="0" xfId="1" applyNumberFormat="1" applyFont="1" applyFill="1"/>
    <xf numFmtId="165" fontId="2" fillId="5" borderId="0" xfId="1" applyNumberFormat="1" applyFont="1" applyFill="1"/>
    <xf numFmtId="0" fontId="4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2" fillId="8" borderId="0" xfId="0" applyNumberFormat="1" applyFont="1" applyFill="1"/>
    <xf numFmtId="0" fontId="2" fillId="8" borderId="0" xfId="0" applyFont="1" applyFill="1"/>
    <xf numFmtId="9" fontId="2" fillId="8" borderId="0" xfId="1" applyFont="1" applyFill="1"/>
    <xf numFmtId="0" fontId="4" fillId="8" borderId="0" xfId="0" applyFont="1" applyFill="1"/>
    <xf numFmtId="2" fontId="15" fillId="0" borderId="0" xfId="1" applyNumberFormat="1" applyFont="1" applyAlignment="1">
      <alignment horizontal="right"/>
    </xf>
    <xf numFmtId="2" fontId="2" fillId="8" borderId="0" xfId="0" applyNumberFormat="1" applyFont="1" applyFill="1"/>
    <xf numFmtId="0" fontId="17" fillId="0" borderId="0" xfId="0" applyFont="1" applyAlignment="1">
      <alignment horizontal="left"/>
    </xf>
    <xf numFmtId="0" fontId="18" fillId="0" borderId="0" xfId="0" applyFont="1" applyFill="1"/>
    <xf numFmtId="0" fontId="2" fillId="4" borderId="0" xfId="0" applyFont="1" applyFill="1" applyBorder="1"/>
    <xf numFmtId="0" fontId="2" fillId="4" borderId="5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9" fillId="4" borderId="7" xfId="2" applyFont="1" applyFill="1" applyBorder="1" applyAlignment="1">
      <alignment horizontal="center"/>
    </xf>
    <xf numFmtId="0" fontId="9" fillId="4" borderId="8" xfId="2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7</xdr:col>
      <xdr:colOff>28575</xdr:colOff>
      <xdr:row>3</xdr:row>
      <xdr:rowOff>66675</xdr:rowOff>
    </xdr:to>
    <xdr:pic>
      <xdr:nvPicPr>
        <xdr:cNvPr id="2" name="Picture 1" descr="https://logo.clearbit.com/cineworldplc.com">
          <a:extLst>
            <a:ext uri="{FF2B5EF4-FFF2-40B4-BE49-F238E27FC236}">
              <a16:creationId xmlns:a16="http://schemas.microsoft.com/office/drawing/2014/main" id="{0DB0F0C8-AC5F-4F9B-B1AF-23EA1EF92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61925"/>
          <a:ext cx="12192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285749</xdr:colOff>
      <xdr:row>11</xdr:row>
      <xdr:rowOff>12341</xdr:rowOff>
    </xdr:from>
    <xdr:to>
      <xdr:col>28</xdr:col>
      <xdr:colOff>26126</xdr:colOff>
      <xdr:row>27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EAB83-25F8-43F8-BFCC-22A6BFF8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49" y="1822091"/>
          <a:ext cx="5226777" cy="2721333"/>
        </a:xfrm>
        <a:prstGeom prst="rect">
          <a:avLst/>
        </a:prstGeom>
      </xdr:spPr>
    </xdr:pic>
    <xdr:clientData/>
  </xdr:twoCellAnchor>
  <xdr:twoCellAnchor editAs="oneCell">
    <xdr:from>
      <xdr:col>19</xdr:col>
      <xdr:colOff>291738</xdr:colOff>
      <xdr:row>1</xdr:row>
      <xdr:rowOff>9524</xdr:rowOff>
    </xdr:from>
    <xdr:to>
      <xdr:col>28</xdr:col>
      <xdr:colOff>250386</xdr:colOff>
      <xdr:row>9</xdr:row>
      <xdr:rowOff>161924</xdr:rowOff>
    </xdr:to>
    <xdr:pic>
      <xdr:nvPicPr>
        <xdr:cNvPr id="4" name="Picture 3" descr="Chat loading/not found">
          <a:extLst>
            <a:ext uri="{FF2B5EF4-FFF2-40B4-BE49-F238E27FC236}">
              <a16:creationId xmlns:a16="http://schemas.microsoft.com/office/drawing/2014/main" id="{8777675D-4C3A-4AD4-96AF-1357E08E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3738" y="171449"/>
          <a:ext cx="5445048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19050</xdr:rowOff>
    </xdr:from>
    <xdr:to>
      <xdr:col>8</xdr:col>
      <xdr:colOff>9525</xdr:colOff>
      <xdr:row>103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3A059F-52D1-4657-90AB-2930CDFA2F98}"/>
            </a:ext>
          </a:extLst>
        </xdr:cNvPr>
        <xdr:cNvCxnSpPr/>
      </xdr:nvCxnSpPr>
      <xdr:spPr>
        <a:xfrm>
          <a:off x="5924550" y="19050"/>
          <a:ext cx="0" cy="16383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9525</xdr:colOff>
      <xdr:row>103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C0237D3-B5A8-4482-83D9-D090EBE6C973}"/>
            </a:ext>
          </a:extLst>
        </xdr:cNvPr>
        <xdr:cNvCxnSpPr/>
      </xdr:nvCxnSpPr>
      <xdr:spPr>
        <a:xfrm>
          <a:off x="12020550" y="0"/>
          <a:ext cx="0" cy="16402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neworldplc.com/en/investors/results-reports-presentations/year/2022" TargetMode="External"/><Relationship Id="rId2" Type="http://schemas.openxmlformats.org/officeDocument/2006/relationships/hyperlink" Target="https://deadline.com/2022/07/cineworld-fine-israel-distribution-1235055439/" TargetMode="External"/><Relationship Id="rId1" Type="http://schemas.openxmlformats.org/officeDocument/2006/relationships/hyperlink" Target="https://www.shorttracker.co.uk/company/GB00B15FWH70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neworldplc.com/sites/cineworld-plc/files/reports-presentation/2022/annual-report-2021.pdf" TargetMode="External"/><Relationship Id="rId2" Type="http://schemas.openxmlformats.org/officeDocument/2006/relationships/hyperlink" Target="https://www.cineworldplc.com/sites/cineworld-plc/files/reports-presentation/2021/cineworld-interim-results-2021.pdf" TargetMode="External"/><Relationship Id="rId1" Type="http://schemas.openxmlformats.org/officeDocument/2006/relationships/hyperlink" Target="https://www.cineworldplc.com/sites/cineworld-plc/files/cineworld-ara-2020-v1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ineworldplc.com/sites/cineworld-plc/files/2020-03/cineworld-ar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FE11-EA2A-45EF-A6B8-E1682BF85255}">
  <dimension ref="B2:X32"/>
  <sheetViews>
    <sheetView tabSelected="1" workbookViewId="0">
      <selection activeCell="O7" sqref="O7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3" t="s">
        <v>0</v>
      </c>
      <c r="G2"/>
    </row>
    <row r="3" spans="2:19" x14ac:dyDescent="0.2">
      <c r="B3" s="4" t="s">
        <v>1</v>
      </c>
    </row>
    <row r="5" spans="2:19" x14ac:dyDescent="0.2">
      <c r="B5" s="81" t="s">
        <v>2</v>
      </c>
      <c r="C5" s="82"/>
      <c r="D5" s="83"/>
      <c r="F5" s="81" t="s">
        <v>39</v>
      </c>
      <c r="G5" s="82"/>
      <c r="H5" s="82"/>
      <c r="I5" s="83"/>
      <c r="K5" s="81" t="s">
        <v>12</v>
      </c>
      <c r="L5" s="82"/>
      <c r="M5" s="82"/>
      <c r="N5" s="82"/>
      <c r="O5" s="82"/>
      <c r="P5" s="82"/>
      <c r="Q5" s="82"/>
      <c r="R5" s="82"/>
      <c r="S5" s="83"/>
    </row>
    <row r="6" spans="2:19" x14ac:dyDescent="0.2">
      <c r="B6" s="7" t="s">
        <v>3</v>
      </c>
      <c r="C6" s="14">
        <v>0.187</v>
      </c>
      <c r="D6" s="44"/>
      <c r="F6" s="25" t="s">
        <v>40</v>
      </c>
      <c r="G6" s="10"/>
      <c r="H6" s="10"/>
      <c r="I6" s="11"/>
      <c r="K6" s="99">
        <v>44774</v>
      </c>
      <c r="L6" s="34" t="s">
        <v>163</v>
      </c>
      <c r="M6" s="79"/>
      <c r="N6" s="79"/>
      <c r="O6" s="79"/>
      <c r="P6" s="79"/>
      <c r="Q6" s="79"/>
      <c r="R6" s="79"/>
      <c r="S6" s="80"/>
    </row>
    <row r="7" spans="2:19" x14ac:dyDescent="0.2">
      <c r="B7" s="7" t="s">
        <v>5</v>
      </c>
      <c r="C7" s="15">
        <v>1370</v>
      </c>
      <c r="D7" s="44" t="s">
        <v>24</v>
      </c>
      <c r="F7" s="9"/>
      <c r="G7" s="10"/>
      <c r="H7" s="10"/>
      <c r="I7" s="11"/>
      <c r="K7" s="36"/>
      <c r="L7" s="34"/>
      <c r="M7" s="79"/>
      <c r="N7" s="79"/>
      <c r="O7" s="79"/>
      <c r="P7" s="79"/>
      <c r="Q7" s="79"/>
      <c r="R7" s="79"/>
      <c r="S7" s="80"/>
    </row>
    <row r="8" spans="2:19" x14ac:dyDescent="0.2">
      <c r="B8" s="7" t="s">
        <v>6</v>
      </c>
      <c r="C8" s="15">
        <f>C6*C7</f>
        <v>256.19</v>
      </c>
      <c r="D8" s="44"/>
      <c r="F8" s="9" t="s">
        <v>152</v>
      </c>
      <c r="G8" s="10"/>
      <c r="H8" s="10"/>
      <c r="I8" s="11"/>
      <c r="K8" s="36"/>
      <c r="L8" s="34"/>
      <c r="M8" s="79"/>
      <c r="N8" s="79"/>
      <c r="O8" s="79"/>
      <c r="P8" s="79"/>
      <c r="Q8" s="79"/>
      <c r="R8" s="79"/>
      <c r="S8" s="80"/>
    </row>
    <row r="9" spans="2:19" x14ac:dyDescent="0.2">
      <c r="B9" s="7" t="s">
        <v>4</v>
      </c>
      <c r="C9" s="15">
        <f>354.3*D13</f>
        <v>294.06900000000002</v>
      </c>
      <c r="D9" s="44" t="s">
        <v>24</v>
      </c>
      <c r="F9" s="35" t="s">
        <v>61</v>
      </c>
      <c r="G9" s="10"/>
      <c r="H9" s="10"/>
      <c r="I9" s="11"/>
      <c r="K9" s="99">
        <v>44743</v>
      </c>
      <c r="L9" s="10" t="s">
        <v>153</v>
      </c>
      <c r="M9" s="10"/>
      <c r="N9" s="10"/>
      <c r="O9" s="10"/>
      <c r="P9" s="10"/>
      <c r="Q9" s="10"/>
      <c r="R9" s="10"/>
      <c r="S9" s="11"/>
    </row>
    <row r="10" spans="2:19" x14ac:dyDescent="0.2">
      <c r="B10" s="7" t="s">
        <v>7</v>
      </c>
      <c r="C10" s="15">
        <f>(169.5+5020.1)*D13</f>
        <v>4307.3680000000004</v>
      </c>
      <c r="D10" s="44" t="s">
        <v>24</v>
      </c>
      <c r="F10" s="9"/>
      <c r="G10" s="10"/>
      <c r="H10" s="10"/>
      <c r="I10" s="11"/>
      <c r="K10" s="36"/>
      <c r="L10" s="34" t="s">
        <v>134</v>
      </c>
      <c r="M10" s="10"/>
      <c r="N10" s="10"/>
      <c r="O10" s="10"/>
      <c r="P10" s="10"/>
      <c r="Q10" s="10"/>
      <c r="R10" s="10"/>
      <c r="S10" s="49" t="s">
        <v>131</v>
      </c>
    </row>
    <row r="11" spans="2:19" x14ac:dyDescent="0.2">
      <c r="B11" s="7" t="s">
        <v>8</v>
      </c>
      <c r="C11" s="15">
        <f>C9-C10</f>
        <v>-4013.2990000000004</v>
      </c>
      <c r="D11" s="44" t="s">
        <v>24</v>
      </c>
      <c r="F11" s="9" t="s">
        <v>76</v>
      </c>
      <c r="G11" s="10"/>
      <c r="H11" s="10"/>
      <c r="I11" s="11"/>
      <c r="K11" s="36"/>
      <c r="L11" s="34" t="s">
        <v>135</v>
      </c>
      <c r="M11" s="10"/>
      <c r="N11" s="10"/>
      <c r="O11" s="10"/>
      <c r="P11" s="10"/>
      <c r="Q11" s="10"/>
      <c r="R11" s="10"/>
      <c r="S11" s="11"/>
    </row>
    <row r="12" spans="2:19" x14ac:dyDescent="0.2">
      <c r="B12" s="8" t="s">
        <v>9</v>
      </c>
      <c r="C12" s="5">
        <f>C8-C11</f>
        <v>4269.4890000000005</v>
      </c>
      <c r="D12" s="6"/>
      <c r="F12" s="35" t="s">
        <v>77</v>
      </c>
      <c r="G12" s="10"/>
      <c r="H12" s="10"/>
      <c r="I12" s="11"/>
      <c r="K12" s="36"/>
      <c r="L12" s="34"/>
      <c r="M12" s="10"/>
      <c r="N12" s="10"/>
      <c r="O12" s="10"/>
      <c r="P12" s="10"/>
      <c r="Q12" s="10"/>
      <c r="R12" s="10"/>
      <c r="S12" s="11"/>
    </row>
    <row r="13" spans="2:19" x14ac:dyDescent="0.2">
      <c r="B13" s="89" t="s">
        <v>145</v>
      </c>
      <c r="C13" s="90"/>
      <c r="D13" s="58">
        <v>0.83</v>
      </c>
      <c r="F13" s="9"/>
      <c r="G13" s="10"/>
      <c r="H13" s="10"/>
      <c r="I13" s="11"/>
      <c r="K13" s="99">
        <v>44621</v>
      </c>
      <c r="L13" s="10" t="s">
        <v>136</v>
      </c>
      <c r="M13" s="10"/>
      <c r="N13" s="10"/>
      <c r="O13" s="10"/>
      <c r="P13" s="10"/>
      <c r="Q13" s="10"/>
      <c r="R13" s="10"/>
      <c r="S13" s="11"/>
    </row>
    <row r="14" spans="2:19" x14ac:dyDescent="0.2">
      <c r="F14" s="40" t="s">
        <v>83</v>
      </c>
      <c r="G14" s="10"/>
      <c r="H14" s="10"/>
      <c r="I14" s="11"/>
      <c r="K14" s="36"/>
      <c r="L14" s="10"/>
      <c r="M14" s="10"/>
      <c r="N14" s="10"/>
      <c r="O14" s="10"/>
      <c r="P14" s="10"/>
      <c r="Q14" s="10"/>
      <c r="R14" s="10"/>
      <c r="S14" s="11"/>
    </row>
    <row r="15" spans="2:19" x14ac:dyDescent="0.2">
      <c r="B15" s="81" t="s">
        <v>10</v>
      </c>
      <c r="C15" s="82"/>
      <c r="D15" s="83"/>
      <c r="F15" s="41" t="s">
        <v>82</v>
      </c>
      <c r="G15" s="10"/>
      <c r="H15" s="10"/>
      <c r="I15" s="11"/>
      <c r="K15" s="99">
        <v>44531</v>
      </c>
      <c r="L15" s="10" t="s">
        <v>59</v>
      </c>
      <c r="M15" s="10"/>
      <c r="N15" s="10"/>
      <c r="O15" s="10"/>
      <c r="P15" s="10"/>
      <c r="Q15" s="10"/>
      <c r="R15" s="10"/>
      <c r="S15" s="11"/>
    </row>
    <row r="16" spans="2:19" x14ac:dyDescent="0.2">
      <c r="B16" s="51" t="s">
        <v>11</v>
      </c>
      <c r="C16" s="84" t="s">
        <v>137</v>
      </c>
      <c r="D16" s="85"/>
      <c r="F16" s="9"/>
      <c r="G16" s="10"/>
      <c r="H16" s="10"/>
      <c r="I16" s="11"/>
      <c r="K16" s="99">
        <v>44531</v>
      </c>
      <c r="L16" s="10" t="s">
        <v>60</v>
      </c>
      <c r="M16" s="10"/>
      <c r="N16" s="10"/>
      <c r="O16" s="10"/>
      <c r="P16" s="10"/>
      <c r="Q16" s="10"/>
      <c r="R16" s="10"/>
      <c r="S16" s="11"/>
    </row>
    <row r="17" spans="2:24" x14ac:dyDescent="0.2">
      <c r="B17" s="51" t="s">
        <v>37</v>
      </c>
      <c r="C17" s="87"/>
      <c r="D17" s="88"/>
      <c r="F17" s="40" t="s">
        <v>154</v>
      </c>
      <c r="G17" s="10"/>
      <c r="H17" s="10"/>
      <c r="I17" s="11"/>
      <c r="K17" s="36"/>
      <c r="L17" s="34" t="s">
        <v>78</v>
      </c>
      <c r="M17" s="10"/>
      <c r="N17" s="10"/>
      <c r="O17" s="10"/>
      <c r="P17" s="10"/>
      <c r="Q17" s="10"/>
      <c r="R17" s="10"/>
      <c r="S17" s="11"/>
    </row>
    <row r="18" spans="2:24" x14ac:dyDescent="0.2">
      <c r="B18" s="51" t="s">
        <v>81</v>
      </c>
      <c r="C18" s="87"/>
      <c r="D18" s="88"/>
      <c r="F18" s="41" t="s">
        <v>132</v>
      </c>
      <c r="G18" s="10"/>
      <c r="H18" s="10"/>
      <c r="I18" s="11"/>
      <c r="K18" s="36"/>
      <c r="L18" s="10"/>
      <c r="M18" s="10"/>
      <c r="N18" s="10"/>
      <c r="O18" s="10"/>
      <c r="P18" s="10"/>
      <c r="Q18" s="10"/>
      <c r="R18" s="10"/>
      <c r="S18" s="11"/>
    </row>
    <row r="19" spans="2:24" x14ac:dyDescent="0.2">
      <c r="B19" s="52" t="s">
        <v>80</v>
      </c>
      <c r="C19" s="91"/>
      <c r="D19" s="92"/>
      <c r="F19" s="50" t="s">
        <v>133</v>
      </c>
      <c r="G19" s="12"/>
      <c r="H19" s="12"/>
      <c r="I19" s="13"/>
      <c r="K19" s="36"/>
      <c r="L19" s="10"/>
      <c r="M19" s="10"/>
      <c r="N19" s="10"/>
      <c r="O19" s="10"/>
      <c r="P19" s="10"/>
      <c r="Q19" s="10"/>
      <c r="R19" s="10"/>
      <c r="S19" s="11"/>
    </row>
    <row r="20" spans="2:24" x14ac:dyDescent="0.2">
      <c r="K20" s="99">
        <v>44409</v>
      </c>
      <c r="L20" s="10" t="s">
        <v>79</v>
      </c>
      <c r="M20" s="10"/>
      <c r="N20" s="10"/>
      <c r="O20" s="10"/>
      <c r="P20" s="10"/>
      <c r="Q20" s="10"/>
      <c r="R20" s="10"/>
      <c r="S20" s="11"/>
    </row>
    <row r="21" spans="2:24" x14ac:dyDescent="0.2">
      <c r="K21" s="36"/>
      <c r="L21" s="10"/>
      <c r="M21" s="10"/>
      <c r="N21" s="10"/>
      <c r="O21" s="10"/>
      <c r="P21" s="10"/>
      <c r="Q21" s="10"/>
      <c r="R21" s="10"/>
      <c r="S21" s="11"/>
    </row>
    <row r="22" spans="2:24" x14ac:dyDescent="0.2">
      <c r="B22" s="81" t="s">
        <v>13</v>
      </c>
      <c r="C22" s="82"/>
      <c r="D22" s="83"/>
      <c r="F22" s="81" t="s">
        <v>65</v>
      </c>
      <c r="G22" s="83"/>
      <c r="K22" s="36"/>
      <c r="L22" s="10"/>
      <c r="M22" s="10"/>
      <c r="N22" s="10"/>
      <c r="O22" s="10"/>
      <c r="P22" s="10"/>
      <c r="Q22" s="10"/>
      <c r="R22" s="10"/>
      <c r="S22" s="11"/>
    </row>
    <row r="23" spans="2:24" x14ac:dyDescent="0.2">
      <c r="B23" s="36" t="s">
        <v>62</v>
      </c>
      <c r="C23" s="84" t="s">
        <v>63</v>
      </c>
      <c r="D23" s="85"/>
      <c r="F23" s="86" t="s">
        <v>66</v>
      </c>
      <c r="G23" s="85"/>
      <c r="H23" s="42" t="s">
        <v>85</v>
      </c>
      <c r="K23" s="99">
        <v>43983</v>
      </c>
      <c r="L23" s="10" t="s">
        <v>57</v>
      </c>
      <c r="M23" s="10"/>
      <c r="N23" s="10"/>
      <c r="O23" s="10"/>
      <c r="P23" s="10"/>
      <c r="Q23" s="10"/>
      <c r="R23" s="10"/>
      <c r="S23" s="11"/>
    </row>
    <row r="24" spans="2:24" x14ac:dyDescent="0.2">
      <c r="B24" s="36" t="s">
        <v>64</v>
      </c>
      <c r="C24" s="84">
        <v>1995</v>
      </c>
      <c r="D24" s="85"/>
      <c r="F24" s="86" t="s">
        <v>67</v>
      </c>
      <c r="G24" s="85"/>
      <c r="H24" s="42"/>
      <c r="K24" s="36"/>
      <c r="L24" s="34" t="s">
        <v>58</v>
      </c>
      <c r="M24" s="10"/>
      <c r="N24" s="10"/>
      <c r="O24" s="10"/>
      <c r="P24" s="10"/>
      <c r="Q24" s="10"/>
      <c r="R24" s="10"/>
      <c r="S24" s="11"/>
    </row>
    <row r="25" spans="2:24" x14ac:dyDescent="0.2">
      <c r="B25" s="36" t="s">
        <v>74</v>
      </c>
      <c r="C25" s="97">
        <v>9181</v>
      </c>
      <c r="D25" s="98"/>
      <c r="F25" s="86" t="s">
        <v>68</v>
      </c>
      <c r="G25" s="85"/>
      <c r="H25" s="42"/>
      <c r="K25" s="36"/>
      <c r="L25" s="10"/>
      <c r="M25" s="10"/>
      <c r="N25" s="10"/>
      <c r="O25" s="10"/>
      <c r="P25" s="10"/>
      <c r="Q25" s="10"/>
      <c r="R25" s="10"/>
      <c r="S25" s="11"/>
    </row>
    <row r="26" spans="2:24" x14ac:dyDescent="0.2">
      <c r="B26" s="36" t="s">
        <v>75</v>
      </c>
      <c r="C26" s="97">
        <v>751</v>
      </c>
      <c r="D26" s="98"/>
      <c r="F26" s="86" t="s">
        <v>69</v>
      </c>
      <c r="G26" s="85"/>
      <c r="H26" s="42" t="s">
        <v>86</v>
      </c>
      <c r="K26" s="99">
        <v>43800</v>
      </c>
      <c r="L26" s="10" t="s">
        <v>55</v>
      </c>
      <c r="M26" s="10"/>
      <c r="N26" s="10"/>
      <c r="O26" s="10"/>
      <c r="P26" s="10"/>
      <c r="Q26" s="10"/>
      <c r="R26" s="10"/>
      <c r="S26" s="11"/>
    </row>
    <row r="27" spans="2:24" x14ac:dyDescent="0.2">
      <c r="B27" s="36"/>
      <c r="C27" s="84"/>
      <c r="D27" s="85"/>
      <c r="F27" s="86" t="s">
        <v>70</v>
      </c>
      <c r="G27" s="85"/>
      <c r="H27" s="42"/>
      <c r="K27" s="38"/>
      <c r="L27" s="39" t="s">
        <v>56</v>
      </c>
      <c r="M27" s="12"/>
      <c r="N27" s="12"/>
      <c r="O27" s="12"/>
      <c r="P27" s="12"/>
      <c r="Q27" s="12"/>
      <c r="R27" s="12"/>
      <c r="S27" s="13"/>
    </row>
    <row r="28" spans="2:24" x14ac:dyDescent="0.2">
      <c r="B28" s="38" t="s">
        <v>160</v>
      </c>
      <c r="C28" s="93" t="s">
        <v>131</v>
      </c>
      <c r="D28" s="94"/>
      <c r="F28" s="86" t="s">
        <v>71</v>
      </c>
      <c r="G28" s="85"/>
      <c r="H28" s="42"/>
    </row>
    <row r="29" spans="2:24" ht="15" x14ac:dyDescent="0.25">
      <c r="F29" s="86" t="s">
        <v>72</v>
      </c>
      <c r="G29" s="85"/>
      <c r="H29" s="42" t="s">
        <v>84</v>
      </c>
      <c r="X29"/>
    </row>
    <row r="30" spans="2:24" x14ac:dyDescent="0.2">
      <c r="F30" s="95" t="s">
        <v>73</v>
      </c>
      <c r="G30" s="96"/>
      <c r="H30" s="42"/>
    </row>
    <row r="31" spans="2:24" x14ac:dyDescent="0.2">
      <c r="F31" s="37"/>
      <c r="G31" s="37"/>
    </row>
    <row r="32" spans="2:24" x14ac:dyDescent="0.2">
      <c r="E32" s="78" t="s">
        <v>155</v>
      </c>
    </row>
  </sheetData>
  <mergeCells count="25">
    <mergeCell ref="C28:D28"/>
    <mergeCell ref="F28:G28"/>
    <mergeCell ref="F29:G29"/>
    <mergeCell ref="F30:G30"/>
    <mergeCell ref="F25:G25"/>
    <mergeCell ref="F26:G26"/>
    <mergeCell ref="F27:G27"/>
    <mergeCell ref="C25:D25"/>
    <mergeCell ref="C26:D26"/>
    <mergeCell ref="C27:D27"/>
    <mergeCell ref="K5:S5"/>
    <mergeCell ref="B22:D22"/>
    <mergeCell ref="F5:I5"/>
    <mergeCell ref="C23:D23"/>
    <mergeCell ref="C24:D24"/>
    <mergeCell ref="F22:G22"/>
    <mergeCell ref="F23:G23"/>
    <mergeCell ref="F24:G24"/>
    <mergeCell ref="B5:D5"/>
    <mergeCell ref="B15:D15"/>
    <mergeCell ref="C16:D16"/>
    <mergeCell ref="C17:D17"/>
    <mergeCell ref="B13:C13"/>
    <mergeCell ref="C19:D19"/>
    <mergeCell ref="C18:D18"/>
  </mergeCells>
  <hyperlinks>
    <hyperlink ref="F6" r:id="rId1" display="#2 Top shorted share" xr:uid="{A5F7EB24-9A70-4B8F-A878-52204B404267}"/>
    <hyperlink ref="S10" r:id="rId2" xr:uid="{AD151293-F00B-492E-AC65-53FB88C42FBD}"/>
    <hyperlink ref="C28:D28" r:id="rId3" display="Link" xr:uid="{04CFEDE5-F85D-8241-ACDD-9493578E52AB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749F-5558-4F51-87FE-3A512A466F06}">
  <dimension ref="A1:AI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6" sqref="B46"/>
    </sheetView>
  </sheetViews>
  <sheetFormatPr defaultColWidth="9.140625" defaultRowHeight="12.75" x14ac:dyDescent="0.2"/>
  <cols>
    <col min="1" max="1" width="4.42578125" style="1" customWidth="1"/>
    <col min="2" max="2" width="29.28515625" style="1" bestFit="1" customWidth="1"/>
    <col min="3" max="3" width="9.140625" style="1"/>
    <col min="4" max="4" width="9.140625" style="24"/>
    <col min="5" max="5" width="9.140625" style="1"/>
    <col min="6" max="6" width="9.140625" style="24"/>
    <col min="7" max="7" width="9.140625" style="1"/>
    <col min="8" max="8" width="9.140625" style="24"/>
    <col min="9" max="9" width="9.140625" style="1"/>
    <col min="10" max="10" width="9.140625" style="24"/>
    <col min="11" max="18" width="9.140625" style="1"/>
    <col min="19" max="19" width="9.140625" style="72"/>
    <col min="20" max="16384" width="9.140625" style="1"/>
  </cols>
  <sheetData>
    <row r="1" spans="1:35" s="17" customFormat="1" x14ac:dyDescent="0.2">
      <c r="B1" s="77" t="s">
        <v>151</v>
      </c>
      <c r="C1" s="17" t="s">
        <v>21</v>
      </c>
      <c r="D1" s="22" t="s">
        <v>20</v>
      </c>
      <c r="E1" s="17" t="s">
        <v>14</v>
      </c>
      <c r="F1" s="22" t="s">
        <v>15</v>
      </c>
      <c r="G1" s="21" t="s">
        <v>16</v>
      </c>
      <c r="H1" s="22" t="s">
        <v>17</v>
      </c>
      <c r="I1" s="17" t="s">
        <v>18</v>
      </c>
      <c r="J1" s="22" t="s">
        <v>19</v>
      </c>
      <c r="M1" s="17" t="s">
        <v>156</v>
      </c>
      <c r="N1" s="17" t="s">
        <v>150</v>
      </c>
      <c r="O1" s="17" t="s">
        <v>146</v>
      </c>
      <c r="P1" s="21" t="s">
        <v>22</v>
      </c>
      <c r="Q1" s="21" t="s">
        <v>23</v>
      </c>
      <c r="R1" s="21" t="s">
        <v>24</v>
      </c>
      <c r="S1" s="68" t="s">
        <v>25</v>
      </c>
      <c r="T1" s="17" t="s">
        <v>26</v>
      </c>
      <c r="U1" s="17" t="s">
        <v>27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7" t="s">
        <v>35</v>
      </c>
      <c r="AD1" s="17" t="s">
        <v>36</v>
      </c>
      <c r="AE1" s="17" t="s">
        <v>50</v>
      </c>
      <c r="AF1" s="17" t="s">
        <v>51</v>
      </c>
      <c r="AG1" s="17" t="s">
        <v>52</v>
      </c>
      <c r="AH1" s="17" t="s">
        <v>53</v>
      </c>
      <c r="AI1" s="17" t="s">
        <v>54</v>
      </c>
    </row>
    <row r="2" spans="1:35" s="20" customFormat="1" x14ac:dyDescent="0.2">
      <c r="A2" s="18"/>
      <c r="D2" s="23"/>
      <c r="E2" s="20" t="s">
        <v>100</v>
      </c>
      <c r="F2" s="23" t="s">
        <v>130</v>
      </c>
      <c r="G2" s="20" t="s">
        <v>97</v>
      </c>
      <c r="H2" s="23" t="s">
        <v>129</v>
      </c>
      <c r="I2" s="19" t="s">
        <v>38</v>
      </c>
      <c r="J2" s="23"/>
      <c r="O2" s="20" t="s">
        <v>149</v>
      </c>
      <c r="P2" s="20" t="s">
        <v>147</v>
      </c>
      <c r="Q2" s="20" t="s">
        <v>130</v>
      </c>
      <c r="R2" s="20" t="s">
        <v>129</v>
      </c>
      <c r="S2" s="69" t="s">
        <v>38</v>
      </c>
    </row>
    <row r="3" spans="1:35" s="55" customFormat="1" x14ac:dyDescent="0.2">
      <c r="A3" s="53"/>
      <c r="B3" s="54" t="s">
        <v>143</v>
      </c>
      <c r="D3" s="56"/>
      <c r="E3" s="55">
        <v>391.3</v>
      </c>
      <c r="F3" s="56">
        <f>Q3-E3</f>
        <v>57.300000000000011</v>
      </c>
      <c r="G3" s="55">
        <v>140.4</v>
      </c>
      <c r="H3" s="56">
        <f>R3-G3</f>
        <v>815.30000000000007</v>
      </c>
      <c r="I3" s="57"/>
      <c r="J3" s="56"/>
      <c r="O3" s="59">
        <v>2496.1</v>
      </c>
      <c r="P3" s="59">
        <v>2536.1</v>
      </c>
      <c r="Q3" s="55">
        <v>448.6</v>
      </c>
      <c r="R3" s="55">
        <v>955.7</v>
      </c>
      <c r="S3" s="71">
        <f t="shared" ref="S3:S5" si="0">R3*1.781295</f>
        <v>1702.3836315000001</v>
      </c>
      <c r="T3" s="59"/>
    </row>
    <row r="4" spans="1:35" s="55" customFormat="1" x14ac:dyDescent="0.2">
      <c r="A4" s="53"/>
      <c r="B4" s="54" t="s">
        <v>144</v>
      </c>
      <c r="D4" s="56"/>
      <c r="E4" s="55">
        <v>203.6</v>
      </c>
      <c r="F4" s="56">
        <f t="shared" ref="F4:F5" si="1">Q4-E4</f>
        <v>28.599999999999994</v>
      </c>
      <c r="G4" s="55">
        <v>79.8</v>
      </c>
      <c r="H4" s="56">
        <f t="shared" ref="H4:H5" si="2">R4-G4</f>
        <v>472.49999999999994</v>
      </c>
      <c r="I4" s="57"/>
      <c r="J4" s="56"/>
      <c r="O4" s="59">
        <v>1145.2</v>
      </c>
      <c r="P4" s="59">
        <v>1240.3</v>
      </c>
      <c r="Q4" s="55">
        <v>232.2</v>
      </c>
      <c r="R4" s="55">
        <v>552.29999999999995</v>
      </c>
      <c r="S4" s="71">
        <f t="shared" si="0"/>
        <v>983.8092284999999</v>
      </c>
      <c r="T4" s="75"/>
    </row>
    <row r="5" spans="1:35" s="55" customFormat="1" x14ac:dyDescent="0.2">
      <c r="A5" s="53"/>
      <c r="B5" s="54" t="s">
        <v>89</v>
      </c>
      <c r="D5" s="56"/>
      <c r="E5" s="55">
        <v>117.5</v>
      </c>
      <c r="F5" s="56">
        <f t="shared" si="1"/>
        <v>54</v>
      </c>
      <c r="G5" s="55">
        <v>72.599999999999994</v>
      </c>
      <c r="H5" s="56">
        <f t="shared" si="2"/>
        <v>224.29999999999998</v>
      </c>
      <c r="I5" s="57"/>
      <c r="J5" s="56"/>
      <c r="O5" s="59">
        <v>477.3</v>
      </c>
      <c r="P5" s="59">
        <v>593.29999999999995</v>
      </c>
      <c r="Q5" s="55">
        <v>171.5</v>
      </c>
      <c r="R5" s="55">
        <v>296.89999999999998</v>
      </c>
      <c r="S5" s="71">
        <f t="shared" si="0"/>
        <v>528.86648549999995</v>
      </c>
    </row>
    <row r="6" spans="1:35" s="4" customFormat="1" x14ac:dyDescent="0.2">
      <c r="A6" s="31"/>
      <c r="B6" s="4" t="s">
        <v>47</v>
      </c>
      <c r="D6" s="32"/>
      <c r="E6" s="31">
        <v>712.4</v>
      </c>
      <c r="F6" s="46">
        <f>Q6-E6</f>
        <v>139.89999999999998</v>
      </c>
      <c r="G6" s="4">
        <v>292.8</v>
      </c>
      <c r="H6" s="46">
        <f>R6-G6</f>
        <v>1512.1000000000001</v>
      </c>
      <c r="J6" s="32"/>
      <c r="O6" s="31">
        <v>4119.1000000000004</v>
      </c>
      <c r="P6" s="31">
        <v>4369.7</v>
      </c>
      <c r="Q6" s="4">
        <v>852.3</v>
      </c>
      <c r="R6" s="31">
        <v>1804.9</v>
      </c>
      <c r="S6" s="70">
        <f>R6*1.781295</f>
        <v>3215.0593455000003</v>
      </c>
    </row>
    <row r="7" spans="1:35" x14ac:dyDescent="0.2">
      <c r="B7" s="1" t="s">
        <v>87</v>
      </c>
      <c r="E7" s="2">
        <v>624.9</v>
      </c>
      <c r="F7" s="47">
        <f>Q7-E7</f>
        <v>263.20000000000005</v>
      </c>
      <c r="G7" s="1">
        <v>283.2</v>
      </c>
      <c r="H7" s="47">
        <f>R7-G7</f>
        <v>980</v>
      </c>
      <c r="O7" s="2">
        <v>3125.4</v>
      </c>
      <c r="P7" s="1">
        <v>2749.1</v>
      </c>
      <c r="Q7" s="1">
        <v>888.1</v>
      </c>
      <c r="R7" s="2">
        <v>1263.2</v>
      </c>
      <c r="S7" s="71">
        <f>S6*0.7</f>
        <v>2250.5415418500002</v>
      </c>
    </row>
    <row r="8" spans="1:35" s="4" customFormat="1" x14ac:dyDescent="0.2">
      <c r="B8" s="4" t="s">
        <v>88</v>
      </c>
      <c r="D8" s="32"/>
      <c r="E8" s="31">
        <f>E6-E7</f>
        <v>87.5</v>
      </c>
      <c r="F8" s="46">
        <f>F6-F7</f>
        <v>-123.30000000000007</v>
      </c>
      <c r="G8" s="4">
        <f>G6-G7</f>
        <v>9.6000000000000227</v>
      </c>
      <c r="H8" s="32">
        <f>H6-H7</f>
        <v>532.10000000000014</v>
      </c>
      <c r="J8" s="32"/>
      <c r="O8" s="31">
        <f t="shared" ref="O8:P8" si="3">O6-O7</f>
        <v>993.70000000000027</v>
      </c>
      <c r="P8" s="31">
        <f t="shared" si="3"/>
        <v>1620.6</v>
      </c>
      <c r="Q8" s="31">
        <f>Q6-Q7</f>
        <v>-35.800000000000068</v>
      </c>
      <c r="R8" s="31">
        <f>R6-R7</f>
        <v>541.70000000000005</v>
      </c>
      <c r="S8" s="70">
        <f>S6-S7</f>
        <v>964.51780365000013</v>
      </c>
    </row>
    <row r="9" spans="1:35" x14ac:dyDescent="0.2">
      <c r="B9" s="1" t="s">
        <v>89</v>
      </c>
      <c r="E9" s="2">
        <v>1.5</v>
      </c>
      <c r="F9" s="47">
        <f>Q9-E9</f>
        <v>0.79999999999999982</v>
      </c>
      <c r="G9" s="1">
        <v>7.1</v>
      </c>
      <c r="H9" s="47">
        <f t="shared" ref="H9:H11" si="4">R9-G9</f>
        <v>8.3000000000000007</v>
      </c>
      <c r="O9" s="2"/>
      <c r="Q9" s="1">
        <v>2.2999999999999998</v>
      </c>
      <c r="R9" s="2">
        <v>15.4</v>
      </c>
      <c r="S9" s="71"/>
    </row>
    <row r="10" spans="1:35" x14ac:dyDescent="0.2">
      <c r="B10" s="1" t="s">
        <v>90</v>
      </c>
      <c r="E10" s="2">
        <v>475.2</v>
      </c>
      <c r="F10" s="47">
        <f t="shared" ref="F10:F17" si="5">Q10-E10</f>
        <v>404.50000000000006</v>
      </c>
      <c r="G10" s="1">
        <v>321.2</v>
      </c>
      <c r="H10" s="47">
        <f t="shared" si="4"/>
        <v>347.2</v>
      </c>
      <c r="O10" s="2"/>
      <c r="Q10" s="1">
        <v>879.7</v>
      </c>
      <c r="R10" s="2">
        <v>668.4</v>
      </c>
      <c r="S10" s="71"/>
    </row>
    <row r="11" spans="1:35" x14ac:dyDescent="0.2">
      <c r="B11" s="1" t="s">
        <v>98</v>
      </c>
      <c r="E11" s="2">
        <v>-954.7</v>
      </c>
      <c r="F11" s="47">
        <f t="shared" si="5"/>
        <v>-389.79999999999995</v>
      </c>
      <c r="G11" s="1">
        <v>95.6</v>
      </c>
      <c r="H11" s="47">
        <f t="shared" si="4"/>
        <v>31.5</v>
      </c>
      <c r="O11" s="2"/>
      <c r="Q11" s="1">
        <v>-1344.5</v>
      </c>
      <c r="R11" s="2">
        <v>127.1</v>
      </c>
      <c r="S11" s="71"/>
    </row>
    <row r="12" spans="1:35" s="4" customFormat="1" x14ac:dyDescent="0.2">
      <c r="B12" s="4" t="s">
        <v>91</v>
      </c>
      <c r="D12" s="32"/>
      <c r="E12" s="31">
        <f>E8+E9-E10+E11</f>
        <v>-1340.9</v>
      </c>
      <c r="F12" s="46">
        <f>F8+F9-F10+F11</f>
        <v>-916.80000000000007</v>
      </c>
      <c r="G12" s="4">
        <f>G8+G9-G10+G11</f>
        <v>-208.89999999999995</v>
      </c>
      <c r="H12" s="32">
        <f>H8+H9-H10+H11</f>
        <v>224.7000000000001</v>
      </c>
      <c r="J12" s="32"/>
      <c r="O12" s="31">
        <f t="shared" ref="O12:P12" si="6">O8+O9-O10+O11</f>
        <v>993.70000000000027</v>
      </c>
      <c r="P12" s="31">
        <f t="shared" si="6"/>
        <v>1620.6</v>
      </c>
      <c r="Q12" s="31">
        <f>Q8+Q9-Q10+Q11</f>
        <v>-2257.7000000000003</v>
      </c>
      <c r="R12" s="31">
        <f>R8+R9-R10+R11</f>
        <v>15.80000000000004</v>
      </c>
      <c r="S12" s="70"/>
    </row>
    <row r="13" spans="1:35" x14ac:dyDescent="0.2">
      <c r="B13" s="1" t="s">
        <v>92</v>
      </c>
      <c r="E13" s="2">
        <v>18.100000000000001</v>
      </c>
      <c r="F13" s="47">
        <f t="shared" si="5"/>
        <v>51.499999999999993</v>
      </c>
      <c r="G13" s="1">
        <v>74.099999999999994</v>
      </c>
      <c r="H13" s="47">
        <f t="shared" ref="H13:H15" si="7">R13-G13</f>
        <v>134.30000000000001</v>
      </c>
      <c r="O13" s="2"/>
      <c r="Q13" s="1">
        <v>69.599999999999994</v>
      </c>
      <c r="R13" s="2">
        <v>208.4</v>
      </c>
      <c r="S13" s="71"/>
    </row>
    <row r="14" spans="1:35" x14ac:dyDescent="0.2">
      <c r="B14" s="1" t="s">
        <v>93</v>
      </c>
      <c r="E14" s="2">
        <v>308.39999999999998</v>
      </c>
      <c r="F14" s="47">
        <f t="shared" si="5"/>
        <v>478.4</v>
      </c>
      <c r="G14" s="1">
        <v>417.2</v>
      </c>
      <c r="H14" s="47">
        <f t="shared" si="7"/>
        <v>482.00000000000006</v>
      </c>
      <c r="O14" s="2"/>
      <c r="Q14" s="1">
        <v>786.8</v>
      </c>
      <c r="R14" s="2">
        <v>899.2</v>
      </c>
      <c r="S14" s="71"/>
    </row>
    <row r="15" spans="1:35" x14ac:dyDescent="0.2">
      <c r="B15" s="1" t="s">
        <v>99</v>
      </c>
      <c r="E15" s="2">
        <v>13.5</v>
      </c>
      <c r="F15" s="47">
        <f t="shared" si="5"/>
        <v>19.5</v>
      </c>
      <c r="G15" s="1">
        <v>24.4</v>
      </c>
      <c r="H15" s="47">
        <f t="shared" si="7"/>
        <v>8.8999999999999986</v>
      </c>
      <c r="O15" s="2"/>
      <c r="Q15" s="1">
        <v>33</v>
      </c>
      <c r="R15" s="2">
        <v>33.299999999999997</v>
      </c>
      <c r="S15" s="71"/>
    </row>
    <row r="16" spans="1:35" x14ac:dyDescent="0.2">
      <c r="B16" s="1" t="s">
        <v>94</v>
      </c>
      <c r="E16" s="2">
        <f>E12+E13-E14-E15</f>
        <v>-1644.7000000000003</v>
      </c>
      <c r="F16" s="47">
        <f>F12+F13-F14-F15</f>
        <v>-1363.2</v>
      </c>
      <c r="G16" s="1">
        <f>G12+G13-G14-G15</f>
        <v>-576.4</v>
      </c>
      <c r="H16" s="24">
        <f>H12+H13-H14-H15</f>
        <v>-131.89999999999995</v>
      </c>
      <c r="O16" s="2">
        <f t="shared" ref="O16:P16" si="8">O12+O13-O14-O15</f>
        <v>993.70000000000027</v>
      </c>
      <c r="P16" s="2">
        <f t="shared" si="8"/>
        <v>1620.6</v>
      </c>
      <c r="Q16" s="2">
        <f>Q12+Q13-Q14-Q15</f>
        <v>-3007.9000000000005</v>
      </c>
      <c r="R16" s="2">
        <f>R12+R13-R14-R15</f>
        <v>-708.3</v>
      </c>
      <c r="S16" s="71"/>
    </row>
    <row r="17" spans="2:19" x14ac:dyDescent="0.2">
      <c r="B17" s="1" t="s">
        <v>44</v>
      </c>
      <c r="E17" s="2">
        <v>-62.2</v>
      </c>
      <c r="F17" s="47">
        <f t="shared" si="5"/>
        <v>-294.2</v>
      </c>
      <c r="G17" s="1">
        <v>-61.2</v>
      </c>
      <c r="H17" s="47">
        <f>R17-G17</f>
        <v>-81.3</v>
      </c>
      <c r="O17" s="2"/>
      <c r="Q17" s="1">
        <v>-356.4</v>
      </c>
      <c r="R17" s="2">
        <v>-142.5</v>
      </c>
      <c r="S17" s="71"/>
    </row>
    <row r="18" spans="2:19" s="4" customFormat="1" x14ac:dyDescent="0.2">
      <c r="B18" s="4" t="s">
        <v>95</v>
      </c>
      <c r="D18" s="32"/>
      <c r="E18" s="31">
        <f>E16+-E17</f>
        <v>-1582.5000000000002</v>
      </c>
      <c r="F18" s="46">
        <f>F16+-F17</f>
        <v>-1069</v>
      </c>
      <c r="G18" s="4">
        <f>G16+-G17</f>
        <v>-515.19999999999993</v>
      </c>
      <c r="H18" s="32">
        <f>H16+-H17</f>
        <v>-50.599999999999952</v>
      </c>
      <c r="J18" s="32"/>
      <c r="O18" s="31">
        <f t="shared" ref="O18:P18" si="9">O16+-O17</f>
        <v>993.70000000000027</v>
      </c>
      <c r="P18" s="31">
        <f t="shared" si="9"/>
        <v>1620.6</v>
      </c>
      <c r="Q18" s="31">
        <f>Q16+-Q17</f>
        <v>-2651.5000000000005</v>
      </c>
      <c r="R18" s="31">
        <f>R16+-R17</f>
        <v>-565.79999999999995</v>
      </c>
      <c r="S18" s="70"/>
    </row>
    <row r="19" spans="2:19" x14ac:dyDescent="0.2">
      <c r="B19" s="1" t="s">
        <v>96</v>
      </c>
      <c r="E19" s="2">
        <f>E18/E20</f>
        <v>-1.1534256559766765</v>
      </c>
      <c r="F19" s="48">
        <f>F18/F20</f>
        <v>-0.77892742640629553</v>
      </c>
      <c r="G19" s="43">
        <f>G18/G20</f>
        <v>-0.37526403962415317</v>
      </c>
      <c r="H19" s="48">
        <f>H18/H20</f>
        <v>-3.6853605243991228E-2</v>
      </c>
      <c r="Q19" s="2">
        <f>Q18/Q20</f>
        <v>-1.9320169046925098</v>
      </c>
      <c r="R19" s="45">
        <f>R18/R20</f>
        <v>-0.41209031318281131</v>
      </c>
    </row>
    <row r="20" spans="2:19" x14ac:dyDescent="0.2">
      <c r="B20" s="1" t="s">
        <v>5</v>
      </c>
      <c r="E20" s="2">
        <v>1372</v>
      </c>
      <c r="F20" s="24">
        <f>Q20</f>
        <v>1372.4</v>
      </c>
      <c r="G20" s="1">
        <v>1372.9</v>
      </c>
      <c r="H20" s="47">
        <f>R20</f>
        <v>1373</v>
      </c>
      <c r="Q20" s="1">
        <v>1372.4</v>
      </c>
      <c r="R20" s="2">
        <v>1373</v>
      </c>
    </row>
    <row r="23" spans="2:19" x14ac:dyDescent="0.2">
      <c r="B23" s="1" t="s">
        <v>41</v>
      </c>
      <c r="E23" s="30">
        <f>E8/E6</f>
        <v>0.12282425603593487</v>
      </c>
      <c r="F23" s="26">
        <f>F8/F6</f>
        <v>-0.88134381701215214</v>
      </c>
      <c r="G23" s="30">
        <f>G8/G6</f>
        <v>3.2786885245901717E-2</v>
      </c>
      <c r="H23" s="26">
        <f>H8/H6</f>
        <v>0.35189471595793936</v>
      </c>
      <c r="O23" s="30">
        <f t="shared" ref="O23:P23" si="10">O8/O6</f>
        <v>0.24124201888762112</v>
      </c>
      <c r="P23" s="30">
        <f t="shared" si="10"/>
        <v>0.37087214225232851</v>
      </c>
      <c r="Q23" s="30">
        <f>Q8/Q6</f>
        <v>-4.2003989205678834E-2</v>
      </c>
      <c r="R23" s="30">
        <f>R8/R6</f>
        <v>0.30012743088259736</v>
      </c>
      <c r="S23" s="73">
        <f>S8/S6</f>
        <v>0.3</v>
      </c>
    </row>
    <row r="24" spans="2:19" x14ac:dyDescent="0.2">
      <c r="B24" s="1" t="s">
        <v>42</v>
      </c>
      <c r="E24" s="30">
        <f>E12/E6</f>
        <v>-1.8822290847838294</v>
      </c>
      <c r="F24" s="26">
        <f>F12/F6</f>
        <v>-6.5532523230879214</v>
      </c>
      <c r="G24" s="30">
        <f>G12/G6</f>
        <v>-0.71345628415300522</v>
      </c>
      <c r="H24" s="26">
        <f>H12/H6</f>
        <v>0.14860128298392969</v>
      </c>
      <c r="O24" s="30">
        <f t="shared" ref="O24:P24" si="11">O12/O6</f>
        <v>0.24124201888762112</v>
      </c>
      <c r="P24" s="30">
        <f t="shared" si="11"/>
        <v>0.37087214225232851</v>
      </c>
      <c r="Q24" s="30">
        <f>Q12/Q6</f>
        <v>-2.6489499002698587</v>
      </c>
      <c r="R24" s="30">
        <f>R12/R6</f>
        <v>8.7539475871239621E-3</v>
      </c>
    </row>
    <row r="25" spans="2:19" x14ac:dyDescent="0.2">
      <c r="B25" s="1" t="s">
        <v>43</v>
      </c>
      <c r="E25" s="30">
        <f>-E18/E6</f>
        <v>2.2213644020213366</v>
      </c>
      <c r="F25" s="26">
        <f>-F18/F6</f>
        <v>7.6411722659042187</v>
      </c>
      <c r="G25" s="30">
        <f>-G18/G6</f>
        <v>1.7595628415300544</v>
      </c>
      <c r="H25" s="26">
        <f>-H18/H6</f>
        <v>3.3463395278090037E-2</v>
      </c>
      <c r="O25" s="30">
        <f t="shared" ref="O25:P25" si="12">-O18/O6</f>
        <v>-0.24124201888762112</v>
      </c>
      <c r="P25" s="30">
        <f t="shared" si="12"/>
        <v>-0.37087214225232851</v>
      </c>
      <c r="Q25" s="30">
        <f>-Q18/Q6</f>
        <v>3.1109937815323252</v>
      </c>
      <c r="R25" s="30">
        <f>-R18/R6</f>
        <v>0.31347997118953952</v>
      </c>
    </row>
    <row r="26" spans="2:19" x14ac:dyDescent="0.2">
      <c r="B26" s="1" t="s">
        <v>44</v>
      </c>
      <c r="E26" s="30">
        <f>E17/E6</f>
        <v>-8.7310499719258847E-2</v>
      </c>
      <c r="F26" s="26">
        <f>F17/F6</f>
        <v>-2.1029306647605437</v>
      </c>
      <c r="G26" s="30">
        <f>G17/G6</f>
        <v>-0.20901639344262296</v>
      </c>
      <c r="H26" s="26">
        <f>H17/H6</f>
        <v>-5.3766285298591357E-2</v>
      </c>
      <c r="O26" s="30">
        <f t="shared" ref="O26:P26" si="13">O17/O6</f>
        <v>0</v>
      </c>
      <c r="P26" s="30">
        <f t="shared" si="13"/>
        <v>0</v>
      </c>
      <c r="Q26" s="30">
        <f>Q17/Q6</f>
        <v>-0.41816261879619854</v>
      </c>
      <c r="R26" s="30">
        <f>R17/R6</f>
        <v>-7.8951742478807679E-2</v>
      </c>
    </row>
    <row r="27" spans="2:19" x14ac:dyDescent="0.2">
      <c r="E27" s="27"/>
      <c r="G27" s="27"/>
    </row>
    <row r="28" spans="2:19" x14ac:dyDescent="0.2">
      <c r="B28" s="1" t="s">
        <v>162</v>
      </c>
      <c r="E28" s="27"/>
      <c r="F28" s="26"/>
      <c r="G28" s="28"/>
      <c r="H28" s="26"/>
      <c r="O28" s="30"/>
      <c r="P28" s="30">
        <f t="shared" ref="P28:Q28" si="14">P3/O3-1</f>
        <v>1.6024998998437567E-2</v>
      </c>
      <c r="Q28" s="30">
        <f t="shared" si="14"/>
        <v>-0.82311423051141519</v>
      </c>
      <c r="R28" s="30">
        <f>R3/Q3-1</f>
        <v>1.1304057066428892</v>
      </c>
    </row>
    <row r="29" spans="2:19" x14ac:dyDescent="0.2">
      <c r="B29" s="1" t="s">
        <v>161</v>
      </c>
      <c r="E29" s="27"/>
      <c r="G29" s="27"/>
    </row>
    <row r="30" spans="2:19" x14ac:dyDescent="0.2">
      <c r="B30" s="1" t="s">
        <v>45</v>
      </c>
      <c r="C30" s="16" t="s">
        <v>48</v>
      </c>
      <c r="D30" s="29" t="s">
        <v>48</v>
      </c>
      <c r="E30" s="16" t="s">
        <v>48</v>
      </c>
      <c r="F30" s="29" t="s">
        <v>48</v>
      </c>
      <c r="G30" s="28">
        <f>G6/E6-1</f>
        <v>-0.58899494665918017</v>
      </c>
      <c r="H30" s="26">
        <f>H6/F6-1</f>
        <v>9.8084345961401027</v>
      </c>
      <c r="O30" s="16" t="s">
        <v>48</v>
      </c>
      <c r="P30" s="30">
        <f t="shared" ref="P30" si="15">P6/O6-1</f>
        <v>6.0838532689179603E-2</v>
      </c>
      <c r="Q30" s="30">
        <f>Q6/P6-1</f>
        <v>-0.80495228505389382</v>
      </c>
      <c r="R30" s="30">
        <f>R6/Q6-1</f>
        <v>1.1176815675231726</v>
      </c>
      <c r="S30" s="73">
        <f>S6/R6-1</f>
        <v>0.78129500000000007</v>
      </c>
    </row>
    <row r="31" spans="2:19" x14ac:dyDescent="0.2">
      <c r="B31" s="1" t="s">
        <v>46</v>
      </c>
      <c r="C31" s="16" t="s">
        <v>48</v>
      </c>
      <c r="D31" s="29" t="s">
        <v>48</v>
      </c>
      <c r="E31" s="16" t="s">
        <v>48</v>
      </c>
      <c r="F31" s="26">
        <f>F6/E6-1</f>
        <v>-0.80362156092083104</v>
      </c>
      <c r="G31" s="28">
        <f>G6/F6-1</f>
        <v>1.0929235167977129</v>
      </c>
      <c r="H31" s="26">
        <f>H6/G6-1</f>
        <v>4.1642759562841531</v>
      </c>
      <c r="O31" s="16" t="s">
        <v>48</v>
      </c>
      <c r="P31" s="16" t="s">
        <v>48</v>
      </c>
      <c r="Q31" s="16" t="s">
        <v>48</v>
      </c>
      <c r="R31" s="16" t="s">
        <v>48</v>
      </c>
    </row>
    <row r="32" spans="2:19" x14ac:dyDescent="0.2">
      <c r="C32" s="16"/>
      <c r="D32" s="26"/>
      <c r="E32" s="28"/>
      <c r="F32" s="26"/>
      <c r="G32" s="28"/>
      <c r="H32" s="26"/>
      <c r="P32" s="16"/>
      <c r="Q32" s="16"/>
      <c r="R32" s="16"/>
    </row>
    <row r="33" spans="1:19" x14ac:dyDescent="0.2">
      <c r="C33" s="16"/>
      <c r="D33" s="26"/>
      <c r="E33" s="28"/>
      <c r="F33" s="26"/>
      <c r="G33" s="28"/>
      <c r="H33" s="26"/>
      <c r="P33" s="16"/>
      <c r="Q33" s="16"/>
      <c r="R33" s="16"/>
    </row>
    <row r="34" spans="1:19" x14ac:dyDescent="0.2">
      <c r="B34" s="33" t="s">
        <v>138</v>
      </c>
      <c r="C34" s="16"/>
      <c r="D34" s="26"/>
      <c r="E34" s="28"/>
      <c r="F34" s="26"/>
      <c r="G34" s="28"/>
      <c r="H34" s="26"/>
      <c r="P34" s="16"/>
      <c r="Q34" s="16"/>
      <c r="R34" s="16"/>
    </row>
    <row r="35" spans="1:19" x14ac:dyDescent="0.2">
      <c r="A35" s="60" t="s">
        <v>148</v>
      </c>
      <c r="B35" s="1" t="s">
        <v>139</v>
      </c>
      <c r="C35" s="61"/>
      <c r="D35" s="64"/>
      <c r="E35" s="66">
        <v>47.5</v>
      </c>
      <c r="F35" s="67">
        <f>Q35-E35</f>
        <v>6.8999999999999986</v>
      </c>
      <c r="G35" s="66">
        <v>14.1</v>
      </c>
      <c r="H35" s="67">
        <f>R35-G35</f>
        <v>81.2</v>
      </c>
      <c r="I35" s="43"/>
      <c r="J35" s="48"/>
      <c r="K35" s="43"/>
      <c r="L35" s="43"/>
      <c r="M35" s="43"/>
      <c r="N35" s="43"/>
      <c r="O35" s="62">
        <v>272.60000000000002</v>
      </c>
      <c r="P35" s="63">
        <v>275</v>
      </c>
      <c r="Q35" s="63">
        <v>54.4</v>
      </c>
      <c r="R35" s="63">
        <v>95.3</v>
      </c>
      <c r="S35" s="72">
        <v>169.7</v>
      </c>
    </row>
    <row r="36" spans="1:19" x14ac:dyDescent="0.2">
      <c r="A36" s="60" t="s">
        <v>142</v>
      </c>
      <c r="B36" s="1" t="s">
        <v>140</v>
      </c>
      <c r="C36" s="61"/>
      <c r="D36" s="64"/>
      <c r="E36" s="65">
        <v>5.26</v>
      </c>
      <c r="F36" s="64"/>
      <c r="G36" s="65">
        <v>5.93</v>
      </c>
      <c r="H36" s="64"/>
      <c r="I36" s="43"/>
      <c r="J36" s="48"/>
      <c r="K36" s="43"/>
      <c r="L36" s="43"/>
      <c r="M36" s="43"/>
      <c r="N36" s="43"/>
      <c r="O36" s="43">
        <v>9.16</v>
      </c>
      <c r="P36" s="61">
        <v>9.2200000000000006</v>
      </c>
      <c r="Q36" s="61">
        <v>8.25</v>
      </c>
      <c r="R36" s="61">
        <v>10.029999999999999</v>
      </c>
      <c r="S36" s="72">
        <v>10.029999999999999</v>
      </c>
    </row>
    <row r="37" spans="1:19" x14ac:dyDescent="0.2">
      <c r="A37" s="60" t="s">
        <v>142</v>
      </c>
      <c r="B37" s="1" t="s">
        <v>141</v>
      </c>
      <c r="C37" s="61"/>
      <c r="D37" s="64"/>
      <c r="E37" s="65">
        <v>2.5299999999999998</v>
      </c>
      <c r="F37" s="64"/>
      <c r="G37" s="65">
        <v>3.67</v>
      </c>
      <c r="H37" s="64"/>
      <c r="I37" s="43"/>
      <c r="J37" s="48"/>
      <c r="K37" s="43"/>
      <c r="L37" s="43"/>
      <c r="M37" s="43"/>
      <c r="N37" s="43"/>
      <c r="O37" s="43">
        <v>4.2</v>
      </c>
      <c r="P37" s="61">
        <v>4.51</v>
      </c>
      <c r="Q37" s="61">
        <v>4.2699999999999996</v>
      </c>
      <c r="R37" s="61">
        <v>5.8</v>
      </c>
      <c r="S37" s="76">
        <v>5.8</v>
      </c>
    </row>
    <row r="38" spans="1:19" x14ac:dyDescent="0.2">
      <c r="E38" s="27"/>
      <c r="G38" s="27"/>
    </row>
    <row r="39" spans="1:19" x14ac:dyDescent="0.2">
      <c r="E39" s="27"/>
      <c r="G39" s="27"/>
    </row>
    <row r="40" spans="1:19" x14ac:dyDescent="0.2">
      <c r="A40" s="4"/>
      <c r="B40" s="33" t="s">
        <v>49</v>
      </c>
      <c r="E40" s="27"/>
    </row>
    <row r="41" spans="1:19" x14ac:dyDescent="0.2">
      <c r="A41" s="4"/>
      <c r="B41" s="1" t="s">
        <v>101</v>
      </c>
      <c r="G41" s="2">
        <v>1722.3</v>
      </c>
      <c r="R41" s="2">
        <v>1698.1</v>
      </c>
    </row>
    <row r="42" spans="1:19" x14ac:dyDescent="0.2">
      <c r="A42" s="4"/>
      <c r="B42" s="1" t="s">
        <v>102</v>
      </c>
      <c r="G42" s="2">
        <v>2168.4</v>
      </c>
      <c r="R42" s="2">
        <v>2234.1</v>
      </c>
    </row>
    <row r="43" spans="1:19" x14ac:dyDescent="0.2">
      <c r="A43" s="4"/>
      <c r="B43" s="1" t="s">
        <v>103</v>
      </c>
      <c r="G43" s="2">
        <f>4864.1+477.1</f>
        <v>5341.2000000000007</v>
      </c>
      <c r="R43" s="2">
        <f>4837.1+464.6</f>
        <v>5301.7000000000007</v>
      </c>
    </row>
    <row r="44" spans="1:19" x14ac:dyDescent="0.2">
      <c r="A44" s="4"/>
      <c r="B44" s="1" t="s">
        <v>104</v>
      </c>
      <c r="G44" s="2">
        <v>194.2</v>
      </c>
      <c r="R44" s="2">
        <v>130.30000000000001</v>
      </c>
    </row>
    <row r="45" spans="1:19" x14ac:dyDescent="0.2">
      <c r="B45" s="1" t="s">
        <v>105</v>
      </c>
      <c r="G45" s="2">
        <v>17.600000000000001</v>
      </c>
      <c r="R45" s="2">
        <v>5.8</v>
      </c>
    </row>
    <row r="46" spans="1:19" x14ac:dyDescent="0.2">
      <c r="B46" s="1" t="s">
        <v>106</v>
      </c>
      <c r="G46" s="2">
        <v>338.1</v>
      </c>
      <c r="R46" s="2">
        <v>415.9</v>
      </c>
    </row>
    <row r="47" spans="1:19" x14ac:dyDescent="0.2">
      <c r="B47" s="1" t="s">
        <v>107</v>
      </c>
      <c r="G47" s="2">
        <v>10.199999999999999</v>
      </c>
      <c r="R47" s="2">
        <v>2.8</v>
      </c>
    </row>
    <row r="48" spans="1:19" x14ac:dyDescent="0.2">
      <c r="A48" s="4"/>
      <c r="B48" s="1" t="s">
        <v>108</v>
      </c>
      <c r="G48" s="2">
        <v>50.1</v>
      </c>
      <c r="R48" s="2">
        <v>48.8</v>
      </c>
    </row>
    <row r="49" spans="2:19" x14ac:dyDescent="0.2">
      <c r="B49" s="1" t="s">
        <v>109</v>
      </c>
      <c r="G49" s="2">
        <f>SUM(G41:G48)</f>
        <v>9842.100000000004</v>
      </c>
      <c r="R49" s="2">
        <f>SUM(R41:R48)</f>
        <v>9837.4999999999982</v>
      </c>
    </row>
    <row r="50" spans="2:19" x14ac:dyDescent="0.2">
      <c r="B50" s="1" t="s">
        <v>110</v>
      </c>
      <c r="G50" s="2">
        <v>4.2</v>
      </c>
      <c r="R50" s="2">
        <v>1.8</v>
      </c>
    </row>
    <row r="51" spans="2:19" x14ac:dyDescent="0.2">
      <c r="B51" s="1" t="s">
        <v>111</v>
      </c>
      <c r="G51" s="2">
        <v>15.5</v>
      </c>
      <c r="R51" s="2">
        <v>24.3</v>
      </c>
    </row>
    <row r="52" spans="2:19" x14ac:dyDescent="0.2">
      <c r="B52" s="1" t="s">
        <v>112</v>
      </c>
      <c r="G52" s="2">
        <v>84.1</v>
      </c>
      <c r="R52" s="2">
        <v>2.7</v>
      </c>
    </row>
    <row r="53" spans="2:19" x14ac:dyDescent="0.2">
      <c r="B53" s="1" t="s">
        <v>113</v>
      </c>
      <c r="G53" s="2">
        <v>1.4</v>
      </c>
      <c r="R53" s="2">
        <v>142.1</v>
      </c>
    </row>
    <row r="54" spans="2:19" x14ac:dyDescent="0.2">
      <c r="B54" s="1" t="s">
        <v>114</v>
      </c>
      <c r="G54" s="2">
        <v>16</v>
      </c>
      <c r="R54" s="2">
        <v>8</v>
      </c>
    </row>
    <row r="55" spans="2:19" s="4" customFormat="1" x14ac:dyDescent="0.2">
      <c r="B55" s="4" t="s">
        <v>4</v>
      </c>
      <c r="D55" s="32"/>
      <c r="F55" s="32"/>
      <c r="G55" s="31">
        <v>436.5</v>
      </c>
      <c r="H55" s="32"/>
      <c r="J55" s="32"/>
      <c r="R55" s="31">
        <v>354.3</v>
      </c>
      <c r="S55" s="74"/>
    </row>
    <row r="56" spans="2:19" x14ac:dyDescent="0.2">
      <c r="B56" s="1" t="s">
        <v>115</v>
      </c>
      <c r="G56" s="2">
        <f>G49+G50+G51+G52+G53+G54+G55</f>
        <v>10399.800000000005</v>
      </c>
      <c r="R56" s="2">
        <f>R49+R50+R51+R52+R53+R54+R55</f>
        <v>10370.699999999997</v>
      </c>
    </row>
    <row r="57" spans="2:19" x14ac:dyDescent="0.2">
      <c r="G57" s="2"/>
      <c r="R57" s="2"/>
    </row>
    <row r="58" spans="2:19" s="4" customFormat="1" x14ac:dyDescent="0.2">
      <c r="B58" s="4" t="s">
        <v>116</v>
      </c>
      <c r="D58" s="32"/>
      <c r="F58" s="32"/>
      <c r="G58" s="31">
        <v>54.9</v>
      </c>
      <c r="H58" s="32"/>
      <c r="J58" s="32"/>
      <c r="R58" s="31">
        <v>169.5</v>
      </c>
      <c r="S58" s="74"/>
    </row>
    <row r="59" spans="2:19" x14ac:dyDescent="0.2">
      <c r="B59" s="1" t="s">
        <v>117</v>
      </c>
      <c r="G59" s="2">
        <v>128.69999999999999</v>
      </c>
      <c r="R59" s="2">
        <v>50.8</v>
      </c>
    </row>
    <row r="60" spans="2:19" x14ac:dyDescent="0.2">
      <c r="B60" s="1" t="s">
        <v>118</v>
      </c>
      <c r="G60" s="2">
        <v>611.4</v>
      </c>
      <c r="R60" s="2">
        <v>547.9</v>
      </c>
    </row>
    <row r="61" spans="2:19" x14ac:dyDescent="0.2">
      <c r="B61" s="1" t="s">
        <v>119</v>
      </c>
      <c r="G61" s="2">
        <v>670.9</v>
      </c>
      <c r="R61" s="2">
        <v>526.20000000000005</v>
      </c>
    </row>
    <row r="62" spans="2:19" x14ac:dyDescent="0.2">
      <c r="B62" s="1" t="s">
        <v>120</v>
      </c>
      <c r="G62" s="2">
        <v>260.89999999999998</v>
      </c>
      <c r="R62" s="2">
        <v>226.9</v>
      </c>
    </row>
    <row r="63" spans="2:19" x14ac:dyDescent="0.2">
      <c r="B63" s="1" t="s">
        <v>121</v>
      </c>
      <c r="G63" s="2">
        <v>39.799999999999997</v>
      </c>
      <c r="R63" s="2">
        <v>35.299999999999997</v>
      </c>
    </row>
    <row r="64" spans="2:19" x14ac:dyDescent="0.2">
      <c r="B64" s="1" t="s">
        <v>122</v>
      </c>
      <c r="G64" s="2">
        <v>6.3</v>
      </c>
      <c r="R64" s="2">
        <v>5</v>
      </c>
    </row>
    <row r="65" spans="1:19" x14ac:dyDescent="0.2">
      <c r="A65" s="4"/>
      <c r="B65" s="1" t="s">
        <v>123</v>
      </c>
      <c r="G65" s="2">
        <f>SUM(G58:G64)</f>
        <v>1772.9</v>
      </c>
      <c r="R65" s="2">
        <f>SUM(R58:R64)</f>
        <v>1561.6000000000001</v>
      </c>
    </row>
    <row r="66" spans="1:19" s="4" customFormat="1" x14ac:dyDescent="0.2">
      <c r="B66" s="4" t="s">
        <v>116</v>
      </c>
      <c r="D66" s="32"/>
      <c r="F66" s="32"/>
      <c r="G66" s="31">
        <v>4802.5</v>
      </c>
      <c r="H66" s="32"/>
      <c r="J66" s="32"/>
      <c r="R66" s="31">
        <v>5020.1000000000004</v>
      </c>
      <c r="S66" s="74"/>
    </row>
    <row r="67" spans="1:19" x14ac:dyDescent="0.2">
      <c r="B67" s="1" t="s">
        <v>117</v>
      </c>
      <c r="G67" s="2">
        <v>87.8</v>
      </c>
      <c r="R67" s="2">
        <v>37.1</v>
      </c>
    </row>
    <row r="68" spans="1:19" x14ac:dyDescent="0.2">
      <c r="B68" s="1" t="s">
        <v>118</v>
      </c>
      <c r="G68" s="2">
        <v>3403.7</v>
      </c>
      <c r="R68" s="2">
        <v>3492.3</v>
      </c>
    </row>
    <row r="69" spans="1:19" x14ac:dyDescent="0.2">
      <c r="B69" s="1" t="s">
        <v>124</v>
      </c>
      <c r="G69" s="2">
        <v>9.4</v>
      </c>
      <c r="R69" s="2">
        <v>19.600000000000001</v>
      </c>
    </row>
    <row r="70" spans="1:19" x14ac:dyDescent="0.2">
      <c r="B70" s="1" t="s">
        <v>120</v>
      </c>
      <c r="G70" s="2">
        <v>595</v>
      </c>
      <c r="R70" s="2">
        <v>579.5</v>
      </c>
    </row>
    <row r="71" spans="1:19" x14ac:dyDescent="0.2">
      <c r="B71" s="1" t="s">
        <v>125</v>
      </c>
      <c r="G71" s="2">
        <v>4.0999999999999996</v>
      </c>
      <c r="R71" s="2">
        <v>1</v>
      </c>
    </row>
    <row r="72" spans="1:19" x14ac:dyDescent="0.2">
      <c r="B72" s="1" t="s">
        <v>122</v>
      </c>
      <c r="G72" s="2">
        <v>1</v>
      </c>
      <c r="I72" s="2"/>
      <c r="R72" s="2">
        <v>4.5</v>
      </c>
    </row>
    <row r="73" spans="1:19" x14ac:dyDescent="0.2">
      <c r="B73" s="1" t="s">
        <v>126</v>
      </c>
      <c r="G73" s="2">
        <f>G65+G66+G67+G68+G69+G70+G71+G72</f>
        <v>10676.4</v>
      </c>
      <c r="R73" s="2">
        <f>R65+R66+R67+R68+R69+R70+R71+R72</f>
        <v>10715.700000000003</v>
      </c>
    </row>
    <row r="74" spans="1:19" x14ac:dyDescent="0.2">
      <c r="G74" s="2"/>
      <c r="R74" s="2"/>
    </row>
    <row r="75" spans="1:19" x14ac:dyDescent="0.2">
      <c r="B75" s="1" t="s">
        <v>127</v>
      </c>
      <c r="G75" s="2">
        <v>-276.60000000000002</v>
      </c>
      <c r="R75" s="2">
        <v>-345</v>
      </c>
    </row>
    <row r="76" spans="1:19" x14ac:dyDescent="0.2">
      <c r="B76" s="1" t="s">
        <v>128</v>
      </c>
      <c r="G76" s="2">
        <f>G73+G75</f>
        <v>10399.799999999999</v>
      </c>
      <c r="R76" s="2">
        <f>R73+R75</f>
        <v>10370.700000000003</v>
      </c>
    </row>
    <row r="80" spans="1:19" x14ac:dyDescent="0.2">
      <c r="B80" s="33" t="s">
        <v>157</v>
      </c>
    </row>
    <row r="81" spans="2:18" x14ac:dyDescent="0.2">
      <c r="B81" s="1" t="s">
        <v>158</v>
      </c>
    </row>
    <row r="82" spans="2:18" x14ac:dyDescent="0.2">
      <c r="B82" s="1" t="s">
        <v>159</v>
      </c>
      <c r="R82" s="1">
        <v>-565.79999999999995</v>
      </c>
    </row>
  </sheetData>
  <hyperlinks>
    <hyperlink ref="Q1" r:id="rId1" xr:uid="{52E57137-18F8-41A5-831C-597C27D6CE9A}"/>
    <hyperlink ref="G1" r:id="rId2" xr:uid="{584E8981-FBB5-4481-9583-B9735560C35D}"/>
    <hyperlink ref="R1" r:id="rId3" xr:uid="{86D9DB75-CF2C-49B0-8544-D35C2E409624}"/>
    <hyperlink ref="P1" r:id="rId4" xr:uid="{77687A84-8622-413C-917A-0E8E9810CF1D}"/>
  </hyperlinks>
  <pageMargins left="0.7" right="0.7" top="0.75" bottom="0.75" header="0.3" footer="0.3"/>
  <pageSetup paperSize="256" orientation="portrait" horizontalDpi="203" verticalDpi="203" r:id="rId5"/>
  <ignoredErrors>
    <ignoredError sqref="H16 H12 H8 F16 F12 F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2022-07-04T09:21:08Z</dcterms:created>
  <dcterms:modified xsi:type="dcterms:W3CDTF">2022-08-19T12:44:07Z</dcterms:modified>
</cp:coreProperties>
</file>