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6D1A877-36F6-4331-B18B-EB7DC6505D12}" xr6:coauthVersionLast="36" xr6:coauthVersionMax="47" xr10:uidLastSave="{00000000-0000-0000-0000-000000000000}"/>
  <bookViews>
    <workbookView xWindow="0" yWindow="495" windowWidth="31725" windowHeight="18900" xr2:uid="{81351393-485E-4E12-AA88-443294AEB95F}"/>
  </bookViews>
  <sheets>
    <sheet name="Main" sheetId="1" r:id="rId1"/>
    <sheet name="Financial Model" sheetId="2" r:id="rId2"/>
    <sheet name="Trustpilot Review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8" i="2" l="1"/>
  <c r="O68" i="2"/>
  <c r="N66" i="2" l="1"/>
  <c r="O66" i="2"/>
  <c r="C26" i="1" l="1"/>
  <c r="C38" i="1" l="1"/>
  <c r="N64" i="2"/>
  <c r="M63" i="2"/>
  <c r="N63" i="2"/>
  <c r="N61" i="2"/>
  <c r="M61" i="2"/>
  <c r="M58" i="2"/>
  <c r="N58" i="2"/>
  <c r="M52" i="2"/>
  <c r="N52" i="2"/>
  <c r="M38" i="2"/>
  <c r="M44" i="2" s="1"/>
  <c r="N38" i="2"/>
  <c r="N44" i="2" s="1"/>
  <c r="C9" i="1"/>
  <c r="C10" i="1" l="1"/>
  <c r="O52" i="2"/>
  <c r="O58" i="2" s="1"/>
  <c r="O38" i="2"/>
  <c r="O44" i="2" s="1"/>
  <c r="O21" i="2"/>
  <c r="N6" i="2"/>
  <c r="N24" i="2" s="1"/>
  <c r="O6" i="2"/>
  <c r="O10" i="2" s="1"/>
  <c r="O12" i="2" s="1"/>
  <c r="O15" i="2" s="1"/>
  <c r="O17" i="2" s="1"/>
  <c r="O26" i="2" s="1"/>
  <c r="C8" i="1"/>
  <c r="O63" i="2" l="1"/>
  <c r="O64" i="2" s="1"/>
  <c r="C36" i="1" s="1"/>
  <c r="O61" i="2"/>
  <c r="C11" i="1"/>
  <c r="O27" i="2"/>
  <c r="O24" i="2"/>
  <c r="O18" i="2"/>
  <c r="C34" i="1" s="1"/>
  <c r="O25" i="2"/>
  <c r="N10" i="2"/>
  <c r="N12" i="2" s="1"/>
  <c r="C12" i="1"/>
  <c r="C33" i="1" s="1"/>
  <c r="N25" i="2" l="1"/>
  <c r="N15" i="2"/>
  <c r="N27" i="2" l="1"/>
  <c r="N17" i="2"/>
  <c r="N18" i="2" l="1"/>
  <c r="N26" i="2"/>
</calcChain>
</file>

<file path=xl/sharedStrings.xml><?xml version="1.0" encoding="utf-8"?>
<sst xmlns="http://schemas.openxmlformats.org/spreadsheetml/2006/main" count="117" uniqueCount="106">
  <si>
    <t>£NXT</t>
  </si>
  <si>
    <t>Next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</si>
  <si>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</si>
  <si>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</si>
  <si>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</si>
  <si>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</si>
  <si>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</si>
  <si>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</si>
  <si>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</si>
  <si>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</si>
  <si>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</si>
  <si>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</si>
  <si>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</si>
  <si>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</si>
  <si>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</si>
  <si>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</si>
  <si>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</si>
  <si>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Update</t>
  </si>
  <si>
    <t>IR</t>
  </si>
  <si>
    <t>Ratios</t>
  </si>
  <si>
    <t>EV/E</t>
  </si>
  <si>
    <t>P/E</t>
  </si>
  <si>
    <t>ROCE</t>
  </si>
  <si>
    <t>P/B</t>
  </si>
  <si>
    <t>P/E 21</t>
  </si>
  <si>
    <t>Link</t>
  </si>
  <si>
    <t>Key Events</t>
  </si>
  <si>
    <t>Leicester, UK</t>
  </si>
  <si>
    <t>Lord Simon Wolfson</t>
  </si>
  <si>
    <t>Amanda Jones</t>
  </si>
  <si>
    <t>21 pay £3.4m</t>
  </si>
  <si>
    <t>Products/Services</t>
  </si>
  <si>
    <t>NEXT Retail</t>
  </si>
  <si>
    <t>NEXT Online</t>
  </si>
  <si>
    <t>NEXT Finance</t>
  </si>
  <si>
    <t>NEXT International Retail</t>
  </si>
  <si>
    <t>NEXT Sourcing</t>
  </si>
  <si>
    <t>Lipsy</t>
  </si>
  <si>
    <t>NENA</t>
  </si>
  <si>
    <t>Property Management Segments</t>
  </si>
  <si>
    <t>Beauty products</t>
  </si>
  <si>
    <t>NEXT Europe/North Africa</t>
  </si>
  <si>
    <t>Enderby</t>
  </si>
  <si>
    <t>2001&gt;</t>
  </si>
  <si>
    <t xml:space="preserve">Charles Wolfson Charitable Trust (CEO a part of) buys 164,058 Next shares @ £60.95 (£10m) </t>
  </si>
  <si>
    <t>Wolfson continues to personally hold about 1% of the company</t>
  </si>
  <si>
    <t>NEXT Home</t>
  </si>
  <si>
    <t>FY22</t>
  </si>
  <si>
    <t>FY21</t>
  </si>
  <si>
    <t>FY19</t>
  </si>
  <si>
    <t>FY18</t>
  </si>
  <si>
    <t>FY17</t>
  </si>
  <si>
    <t>Revenue</t>
  </si>
  <si>
    <t>COGS</t>
  </si>
  <si>
    <t>Impairment</t>
  </si>
  <si>
    <t>Gross Profit</t>
  </si>
  <si>
    <t>Distribution Costs</t>
  </si>
  <si>
    <t>Administrative</t>
  </si>
  <si>
    <t>Other gains/losses</t>
  </si>
  <si>
    <t>Joint Venture Income</t>
  </si>
  <si>
    <t>Trading Profit</t>
  </si>
  <si>
    <t>Operating Profit</t>
  </si>
  <si>
    <t>Finance Income</t>
  </si>
  <si>
    <t>Finance Costs</t>
  </si>
  <si>
    <t>Pretax Income</t>
  </si>
  <si>
    <t>Net Income</t>
  </si>
  <si>
    <t>EPS</t>
  </si>
  <si>
    <t>Taxes</t>
  </si>
  <si>
    <t>Revenue Y/Y</t>
  </si>
  <si>
    <t>Revenue H/H</t>
  </si>
  <si>
    <t>Gross Margin</t>
  </si>
  <si>
    <t>Operating Margin</t>
  </si>
  <si>
    <t>Net Margin</t>
  </si>
  <si>
    <t>Taxes %</t>
  </si>
  <si>
    <t>Balance Sheet</t>
  </si>
  <si>
    <t>PP&amp;E</t>
  </si>
  <si>
    <t>Intangibles</t>
  </si>
  <si>
    <t>ROU</t>
  </si>
  <si>
    <t>Joint Ventures</t>
  </si>
  <si>
    <t>Defined Benefit Pension</t>
  </si>
  <si>
    <t>Other Financial Assets</t>
  </si>
  <si>
    <t>Deferred Taxes</t>
  </si>
  <si>
    <t>TNCA</t>
  </si>
  <si>
    <t>Inventories</t>
  </si>
  <si>
    <t>Customer &amp; A/R</t>
  </si>
  <si>
    <t>ROR</t>
  </si>
  <si>
    <t>Assets</t>
  </si>
  <si>
    <t>Bank Loans &amp; Overdrafts</t>
  </si>
  <si>
    <t>Corporate Bonds</t>
  </si>
  <si>
    <t>A/P</t>
  </si>
  <si>
    <t>Lease Liabilities</t>
  </si>
  <si>
    <t>Other Financial Liabilities</t>
  </si>
  <si>
    <t>Current Taxes</t>
  </si>
  <si>
    <t>TCL</t>
  </si>
  <si>
    <t>Provisions</t>
  </si>
  <si>
    <t>Other Liabilities</t>
  </si>
  <si>
    <t>S/E</t>
  </si>
  <si>
    <t>S/E+L</t>
  </si>
  <si>
    <t>Book Value</t>
  </si>
  <si>
    <t>Book Value per Share</t>
  </si>
  <si>
    <t>Liabilities</t>
  </si>
  <si>
    <t>Share buyback of 117,500 shares @ £73.90 (£8.7m) - reducing num of shares by 0.1%</t>
  </si>
  <si>
    <t>(£80pps ish)</t>
  </si>
  <si>
    <t>Inv.</t>
  </si>
  <si>
    <t>Inventory Y/Y</t>
  </si>
  <si>
    <t>Inventory/Revenue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</si>
</sst>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8" xfId="0" applyFont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165" fontId="1" fillId="0" borderId="0" xfId="0" applyNumberFormat="1" applyFont="1" applyBorder="1"/>
    <xf numFmtId="0" fontId="1" fillId="4" borderId="4" xfId="0" applyFont="1" applyFill="1" applyBorder="1"/>
    <xf numFmtId="0" fontId="1" fillId="4" borderId="6" xfId="0" applyFont="1" applyFill="1" applyBorder="1"/>
    <xf numFmtId="0" fontId="2" fillId="4" borderId="4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 indent="1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9" fontId="1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9" fillId="0" borderId="0" xfId="0" applyFont="1"/>
    <xf numFmtId="0" fontId="1" fillId="0" borderId="5" xfId="0" applyFont="1" applyBorder="1" applyAlignment="1">
      <alignment horizontal="right"/>
    </xf>
    <xf numFmtId="0" fontId="5" fillId="0" borderId="0" xfId="1" applyFont="1" applyAlignment="1">
      <alignment horizontal="right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219075</xdr:colOff>
      <xdr:row>0</xdr:row>
      <xdr:rowOff>76200</xdr:rowOff>
    </xdr:from>
    <xdr:to>
      <xdr:col>5</xdr:col>
      <xdr:colOff>352425</xdr:colOff>
      <xdr:row>4</xdr:row>
      <xdr:rowOff>142875</xdr:rowOff>
    </xdr:to>
    <xdr:pic>
      <xdr:nvPicPr>
        <xdr:cNvPr id="4" name="Picture 3" descr="Next Plc">
          <a:extLst>
            <a:ext uri="{FF2B5EF4-FFF2-40B4-BE49-F238E27FC236}">
              <a16:creationId xmlns:a16="http://schemas.microsoft.com/office/drawing/2014/main" id="{958AB9B1-C744-4BEB-A61B-8EA53A59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76200"/>
          <a:ext cx="742950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Simon_Wolfson" TargetMode="External"/><Relationship Id="rId1" Type="http://schemas.openxmlformats.org/officeDocument/2006/relationships/hyperlink" Target="https://www.nextplc.co.uk/investo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xtplc.co.uk/~/media/Files/N/Next-PLC-V2/documents/2022/annual-reports-and-account-jan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64239-85F3-4825-8F82-442486685D16}">
  <dimension ref="A2:W38"/>
  <sheetViews>
    <sheetView tabSelected="1" workbookViewId="0">
      <selection activeCell="C7" sqref="C7"/>
    </sheetView>
  </sheetViews>
  <sheetFormatPr defaultColWidth="9.140625" defaultRowHeight="12.75" x14ac:dyDescent="0.2"/>
  <cols>
    <col min="1" max="16384" width="9.140625" style="1"/>
  </cols>
  <sheetData>
    <row r="2" spans="1:23" ht="15" x14ac:dyDescent="0.25">
      <c r="B2" s="3" t="s">
        <v>0</v>
      </c>
      <c r="E2"/>
    </row>
    <row r="3" spans="1:23" x14ac:dyDescent="0.2">
      <c r="B3" s="2" t="s">
        <v>1</v>
      </c>
    </row>
    <row r="5" spans="1:23" x14ac:dyDescent="0.2">
      <c r="B5" s="45" t="s">
        <v>2</v>
      </c>
      <c r="C5" s="46"/>
      <c r="D5" s="47"/>
      <c r="G5" s="45" t="s">
        <v>26</v>
      </c>
      <c r="H5" s="46"/>
      <c r="I5" s="46"/>
      <c r="J5" s="46"/>
      <c r="K5" s="46"/>
      <c r="L5" s="46"/>
      <c r="M5" s="46"/>
      <c r="N5" s="46"/>
      <c r="O5" s="46"/>
      <c r="P5" s="47"/>
      <c r="S5" s="45" t="s">
        <v>31</v>
      </c>
      <c r="T5" s="46"/>
      <c r="U5" s="46"/>
      <c r="V5" s="46"/>
      <c r="W5" s="47"/>
    </row>
    <row r="6" spans="1:23" x14ac:dyDescent="0.2">
      <c r="B6" s="4" t="s">
        <v>3</v>
      </c>
      <c r="C6" s="5">
        <v>52.36</v>
      </c>
      <c r="D6" s="6"/>
      <c r="G6" s="23">
        <v>44743</v>
      </c>
      <c r="H6" s="9" t="s">
        <v>44</v>
      </c>
      <c r="I6" s="9"/>
      <c r="J6" s="9"/>
      <c r="K6" s="9"/>
      <c r="L6" s="9"/>
      <c r="M6" s="9"/>
      <c r="N6" s="9"/>
      <c r="O6" s="9"/>
      <c r="P6" s="10"/>
      <c r="S6" s="22" t="s">
        <v>32</v>
      </c>
      <c r="T6" s="9"/>
      <c r="U6" s="9"/>
      <c r="V6" s="9"/>
      <c r="W6" s="10"/>
    </row>
    <row r="7" spans="1:23" x14ac:dyDescent="0.2">
      <c r="B7" s="4" t="s">
        <v>4</v>
      </c>
      <c r="C7" s="19">
        <v>132.77099999999999</v>
      </c>
      <c r="D7" s="35" t="s">
        <v>47</v>
      </c>
      <c r="G7" s="15"/>
      <c r="H7" s="24" t="s">
        <v>45</v>
      </c>
      <c r="I7" s="9"/>
      <c r="J7" s="9"/>
      <c r="K7" s="9"/>
      <c r="L7" s="9"/>
      <c r="M7" s="9"/>
      <c r="N7" s="9"/>
      <c r="O7" s="9"/>
      <c r="P7" s="10"/>
      <c r="S7" s="22" t="s">
        <v>33</v>
      </c>
      <c r="T7" s="9"/>
      <c r="U7" s="9"/>
      <c r="V7" s="9"/>
      <c r="W7" s="10"/>
    </row>
    <row r="8" spans="1:23" x14ac:dyDescent="0.2">
      <c r="B8" s="4" t="s">
        <v>5</v>
      </c>
      <c r="C8" s="17">
        <f>C6*C7</f>
        <v>6951.8895599999996</v>
      </c>
      <c r="D8" s="35"/>
      <c r="G8" s="15"/>
      <c r="H8" s="9"/>
      <c r="I8" s="9"/>
      <c r="J8" s="9"/>
      <c r="K8" s="9"/>
      <c r="L8" s="9"/>
      <c r="M8" s="9"/>
      <c r="N8" s="9"/>
      <c r="O8" s="9"/>
      <c r="P8" s="10"/>
      <c r="S8" s="22" t="s">
        <v>46</v>
      </c>
      <c r="T8" s="9"/>
      <c r="U8" s="9"/>
      <c r="V8" s="9"/>
      <c r="W8" s="10"/>
    </row>
    <row r="9" spans="1:23" x14ac:dyDescent="0.2">
      <c r="B9" s="4" t="s">
        <v>6</v>
      </c>
      <c r="C9" s="17">
        <f>433</f>
        <v>433</v>
      </c>
      <c r="D9" s="35" t="s">
        <v>47</v>
      </c>
      <c r="G9" s="15"/>
      <c r="H9" s="9"/>
      <c r="I9" s="9"/>
      <c r="J9" s="9"/>
      <c r="K9" s="9"/>
      <c r="L9" s="9"/>
      <c r="M9" s="9"/>
      <c r="N9" s="9"/>
      <c r="O9" s="9"/>
      <c r="P9" s="10"/>
      <c r="S9" s="22" t="s">
        <v>34</v>
      </c>
      <c r="T9" s="9"/>
      <c r="U9" s="9"/>
      <c r="V9" s="9"/>
      <c r="W9" s="10"/>
    </row>
    <row r="10" spans="1:23" x14ac:dyDescent="0.2">
      <c r="B10" s="4" t="s">
        <v>7</v>
      </c>
      <c r="C10" s="17">
        <f>233.1+815.7</f>
        <v>1048.8</v>
      </c>
      <c r="D10" s="35" t="s">
        <v>47</v>
      </c>
      <c r="G10" s="23">
        <v>44562</v>
      </c>
      <c r="H10" s="9" t="s">
        <v>101</v>
      </c>
      <c r="I10" s="9"/>
      <c r="J10" s="9"/>
      <c r="K10" s="9"/>
      <c r="L10" s="9"/>
      <c r="M10" s="9"/>
      <c r="N10" s="9"/>
      <c r="O10" s="9"/>
      <c r="P10" s="10"/>
      <c r="S10" s="22" t="s">
        <v>35</v>
      </c>
      <c r="T10" s="9"/>
      <c r="U10" s="9"/>
      <c r="V10" s="9"/>
      <c r="W10" s="10"/>
    </row>
    <row r="11" spans="1:23" x14ac:dyDescent="0.2">
      <c r="B11" s="4" t="s">
        <v>8</v>
      </c>
      <c r="C11" s="17">
        <f>C9-C10</f>
        <v>-615.79999999999995</v>
      </c>
      <c r="D11" s="35" t="s">
        <v>47</v>
      </c>
      <c r="G11" s="15"/>
      <c r="H11" s="9"/>
      <c r="I11" s="9"/>
      <c r="J11" s="9"/>
      <c r="K11" s="9"/>
      <c r="L11" s="9"/>
      <c r="M11" s="9"/>
      <c r="N11" s="9"/>
      <c r="O11" s="9"/>
      <c r="P11" s="10"/>
      <c r="S11" s="22" t="s">
        <v>36</v>
      </c>
      <c r="U11" s="9"/>
      <c r="V11" s="9"/>
      <c r="W11" s="10"/>
    </row>
    <row r="12" spans="1:23" x14ac:dyDescent="0.2">
      <c r="B12" s="7" t="s">
        <v>9</v>
      </c>
      <c r="C12" s="18">
        <f>C8-C11</f>
        <v>7567.6895599999998</v>
      </c>
      <c r="D12" s="8"/>
      <c r="G12" s="15"/>
      <c r="H12" s="9"/>
      <c r="I12" s="9"/>
      <c r="J12" s="9"/>
      <c r="K12" s="9"/>
      <c r="L12" s="9"/>
      <c r="M12" s="9"/>
      <c r="N12" s="9"/>
      <c r="O12" s="9"/>
      <c r="P12" s="10"/>
      <c r="S12" s="22" t="s">
        <v>37</v>
      </c>
      <c r="T12" s="9" t="s">
        <v>40</v>
      </c>
      <c r="U12" s="9"/>
      <c r="V12" s="9"/>
      <c r="W12" s="10"/>
    </row>
    <row r="13" spans="1:23" x14ac:dyDescent="0.2">
      <c r="G13" s="15"/>
      <c r="H13" s="9"/>
      <c r="I13" s="9"/>
      <c r="J13" s="9"/>
      <c r="K13" s="9"/>
      <c r="L13" s="9"/>
      <c r="M13" s="9"/>
      <c r="N13" s="9"/>
      <c r="O13" s="9"/>
      <c r="P13" s="10"/>
      <c r="S13" s="22" t="s">
        <v>38</v>
      </c>
      <c r="T13" s="9" t="s">
        <v>41</v>
      </c>
      <c r="U13" s="9"/>
      <c r="V13" s="9"/>
      <c r="W13" s="10"/>
    </row>
    <row r="14" spans="1:23" x14ac:dyDescent="0.2">
      <c r="G14" s="15"/>
      <c r="H14" s="9"/>
      <c r="I14" s="9"/>
      <c r="J14" s="9"/>
      <c r="K14" s="9"/>
      <c r="L14" s="9"/>
      <c r="M14" s="9"/>
      <c r="N14" s="9"/>
      <c r="O14" s="9"/>
      <c r="P14" s="10"/>
      <c r="S14" s="22" t="s">
        <v>39</v>
      </c>
      <c r="T14" s="9"/>
      <c r="U14" s="9"/>
      <c r="V14" s="9"/>
      <c r="W14" s="10"/>
    </row>
    <row r="15" spans="1:23" x14ac:dyDescent="0.2">
      <c r="B15" s="45" t="s">
        <v>10</v>
      </c>
      <c r="C15" s="46"/>
      <c r="D15" s="47"/>
      <c r="G15" s="15"/>
      <c r="H15" s="9"/>
      <c r="I15" s="9"/>
      <c r="J15" s="9"/>
      <c r="K15" s="9"/>
      <c r="L15" s="9"/>
      <c r="M15" s="9"/>
      <c r="N15" s="9"/>
      <c r="O15" s="9"/>
      <c r="P15" s="10"/>
      <c r="S15" s="20"/>
      <c r="T15" s="9"/>
      <c r="U15" s="9"/>
      <c r="V15" s="9"/>
      <c r="W15" s="10"/>
    </row>
    <row r="16" spans="1:23" x14ac:dyDescent="0.2">
      <c r="A16" s="1" t="s">
        <v>43</v>
      </c>
      <c r="B16" s="13" t="s">
        <v>11</v>
      </c>
      <c r="C16" s="48" t="s">
        <v>28</v>
      </c>
      <c r="D16" s="49"/>
      <c r="E16" s="1" t="s">
        <v>30</v>
      </c>
      <c r="G16" s="15"/>
      <c r="H16" s="9"/>
      <c r="I16" s="9"/>
      <c r="J16" s="9"/>
      <c r="K16" s="9"/>
      <c r="L16" s="9"/>
      <c r="M16" s="9"/>
      <c r="N16" s="9"/>
      <c r="O16" s="9"/>
      <c r="P16" s="10"/>
      <c r="S16" s="20"/>
      <c r="T16" s="9"/>
      <c r="U16" s="9"/>
      <c r="V16" s="9"/>
      <c r="W16" s="10"/>
    </row>
    <row r="17" spans="2:23" x14ac:dyDescent="0.2">
      <c r="B17" s="13" t="s">
        <v>12</v>
      </c>
      <c r="C17" s="37" t="s">
        <v>29</v>
      </c>
      <c r="D17" s="38"/>
      <c r="G17" s="15"/>
      <c r="H17" s="9"/>
      <c r="I17" s="9"/>
      <c r="J17" s="9"/>
      <c r="K17" s="9"/>
      <c r="L17" s="9"/>
      <c r="M17" s="9"/>
      <c r="N17" s="9"/>
      <c r="O17" s="9"/>
      <c r="P17" s="10"/>
      <c r="S17" s="20"/>
      <c r="T17" s="9"/>
      <c r="U17" s="9"/>
      <c r="V17" s="9"/>
      <c r="W17" s="10"/>
    </row>
    <row r="18" spans="2:23" x14ac:dyDescent="0.2">
      <c r="B18" s="13"/>
      <c r="C18" s="9"/>
      <c r="D18" s="10"/>
      <c r="G18" s="15"/>
      <c r="H18" s="9"/>
      <c r="I18" s="9"/>
      <c r="J18" s="9"/>
      <c r="K18" s="9"/>
      <c r="L18" s="9"/>
      <c r="M18" s="9"/>
      <c r="N18" s="9"/>
      <c r="O18" s="9"/>
      <c r="P18" s="10"/>
      <c r="S18" s="20"/>
      <c r="T18" s="9"/>
      <c r="U18" s="9"/>
      <c r="V18" s="9"/>
      <c r="W18" s="10"/>
    </row>
    <row r="19" spans="2:23" x14ac:dyDescent="0.2">
      <c r="B19" s="14"/>
      <c r="C19" s="11"/>
      <c r="D19" s="12"/>
      <c r="G19" s="16"/>
      <c r="H19" s="11"/>
      <c r="I19" s="11"/>
      <c r="J19" s="11"/>
      <c r="K19" s="11"/>
      <c r="L19" s="11"/>
      <c r="M19" s="11"/>
      <c r="N19" s="11"/>
      <c r="O19" s="11"/>
      <c r="P19" s="12"/>
      <c r="S19" s="21"/>
      <c r="T19" s="11"/>
      <c r="U19" s="11"/>
      <c r="V19" s="11"/>
      <c r="W19" s="12"/>
    </row>
    <row r="22" spans="2:23" x14ac:dyDescent="0.2">
      <c r="B22" s="45" t="s">
        <v>13</v>
      </c>
      <c r="C22" s="46"/>
      <c r="D22" s="47"/>
    </row>
    <row r="23" spans="2:23" x14ac:dyDescent="0.2">
      <c r="B23" s="15" t="s">
        <v>14</v>
      </c>
      <c r="C23" s="37" t="s">
        <v>27</v>
      </c>
      <c r="D23" s="38"/>
      <c r="E23" s="1" t="s">
        <v>42</v>
      </c>
    </row>
    <row r="24" spans="2:23" x14ac:dyDescent="0.2">
      <c r="B24" s="15" t="s">
        <v>15</v>
      </c>
      <c r="C24" s="37">
        <v>1864</v>
      </c>
      <c r="D24" s="38"/>
    </row>
    <row r="25" spans="2:23" x14ac:dyDescent="0.2">
      <c r="B25" s="15" t="s">
        <v>16</v>
      </c>
      <c r="C25" s="37"/>
      <c r="D25" s="38"/>
    </row>
    <row r="26" spans="2:23" x14ac:dyDescent="0.2">
      <c r="B26" s="15" t="s">
        <v>103</v>
      </c>
      <c r="C26" s="37">
        <f>'Financial Model'!O39</f>
        <v>633</v>
      </c>
      <c r="D26" s="38"/>
    </row>
    <row r="27" spans="2:23" x14ac:dyDescent="0.2">
      <c r="B27" s="15"/>
      <c r="C27" s="9"/>
      <c r="D27" s="10"/>
    </row>
    <row r="28" spans="2:23" x14ac:dyDescent="0.2">
      <c r="B28" s="15" t="s">
        <v>17</v>
      </c>
      <c r="C28" s="37" t="s">
        <v>47</v>
      </c>
      <c r="D28" s="38"/>
    </row>
    <row r="29" spans="2:23" x14ac:dyDescent="0.2">
      <c r="B29" s="16" t="s">
        <v>18</v>
      </c>
      <c r="C29" s="43" t="s">
        <v>25</v>
      </c>
      <c r="D29" s="44"/>
    </row>
    <row r="32" spans="2:23" x14ac:dyDescent="0.2">
      <c r="B32" s="45" t="s">
        <v>19</v>
      </c>
      <c r="C32" s="46"/>
      <c r="D32" s="47"/>
    </row>
    <row r="33" spans="2:5" x14ac:dyDescent="0.2">
      <c r="B33" s="15" t="s">
        <v>20</v>
      </c>
      <c r="C33" s="39">
        <f>C12/'Financial Model'!O17</f>
        <v>11.170021490774916</v>
      </c>
      <c r="D33" s="40"/>
    </row>
    <row r="34" spans="2:5" x14ac:dyDescent="0.2">
      <c r="B34" s="15" t="s">
        <v>21</v>
      </c>
      <c r="C34" s="39">
        <f>C6/'Financial Model'!O18</f>
        <v>9.8614553505535145</v>
      </c>
      <c r="D34" s="40"/>
    </row>
    <row r="35" spans="2:5" x14ac:dyDescent="0.2">
      <c r="B35" s="15" t="s">
        <v>22</v>
      </c>
      <c r="C35" s="37"/>
      <c r="D35" s="38"/>
    </row>
    <row r="36" spans="2:5" x14ac:dyDescent="0.2">
      <c r="B36" s="15" t="s">
        <v>23</v>
      </c>
      <c r="C36" s="39">
        <f>C6/'Financial Model'!O64</f>
        <v>6.6149861386138609</v>
      </c>
      <c r="D36" s="40"/>
    </row>
    <row r="37" spans="2:5" x14ac:dyDescent="0.2">
      <c r="B37" s="15"/>
      <c r="C37" s="37"/>
      <c r="D37" s="38"/>
    </row>
    <row r="38" spans="2:5" x14ac:dyDescent="0.2">
      <c r="B38" s="16" t="s">
        <v>24</v>
      </c>
      <c r="C38" s="41">
        <f>C6/'Financial Model'!N18</f>
        <v>23.595786536449214</v>
      </c>
      <c r="D38" s="42"/>
      <c r="E38" s="1" t="s">
        <v>102</v>
      </c>
    </row>
  </sheetData>
  <mergeCells count="20">
    <mergeCell ref="C26:D26"/>
    <mergeCell ref="S5:W5"/>
    <mergeCell ref="G5:P5"/>
    <mergeCell ref="C23:D23"/>
    <mergeCell ref="C24:D24"/>
    <mergeCell ref="C25:D25"/>
    <mergeCell ref="C16:D16"/>
    <mergeCell ref="C17:D17"/>
    <mergeCell ref="B5:D5"/>
    <mergeCell ref="B15:D15"/>
    <mergeCell ref="B22:D22"/>
    <mergeCell ref="C35:D35"/>
    <mergeCell ref="C36:D36"/>
    <mergeCell ref="C37:D37"/>
    <mergeCell ref="C38:D38"/>
    <mergeCell ref="C28:D28"/>
    <mergeCell ref="C29:D29"/>
    <mergeCell ref="B32:D32"/>
    <mergeCell ref="C33:D33"/>
    <mergeCell ref="C34:D34"/>
  </mergeCells>
  <hyperlinks>
    <hyperlink ref="C29:D29" r:id="rId1" display="Link" xr:uid="{B4484D4E-048B-4AAA-8DF6-47F17980E769}"/>
    <hyperlink ref="C16:D16" r:id="rId2" display="Lord Simon Wolfson" xr:uid="{326D3F8F-40FE-43F1-8484-91BFD88BC0AB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D22D-F7B8-43B3-A985-D34E539C8E1D}">
  <dimension ref="B1:O68"/>
  <sheetViews>
    <sheetView workbookViewId="0">
      <pane xSplit="2" ySplit="2" topLeftCell="I52" activePane="bottomRight" state="frozen"/>
      <selection pane="topRight" activeCell="C1" sqref="C1"/>
      <selection pane="bottomLeft" activeCell="A3" sqref="A3"/>
      <selection pane="bottomRight" activeCell="N68" sqref="N68:O68"/>
    </sheetView>
  </sheetViews>
  <sheetFormatPr defaultColWidth="9.140625" defaultRowHeight="12.75" x14ac:dyDescent="0.2"/>
  <cols>
    <col min="1" max="1" width="9.140625" style="1"/>
    <col min="2" max="2" width="22" style="1" bestFit="1" customWidth="1"/>
    <col min="3" max="16384" width="9.140625" style="1"/>
  </cols>
  <sheetData>
    <row r="1" spans="2:15" s="25" customFormat="1" x14ac:dyDescent="0.2">
      <c r="K1" s="25" t="s">
        <v>51</v>
      </c>
      <c r="L1" s="25" t="s">
        <v>50</v>
      </c>
      <c r="M1" s="25" t="s">
        <v>49</v>
      </c>
      <c r="N1" s="25" t="s">
        <v>48</v>
      </c>
      <c r="O1" s="36" t="s">
        <v>47</v>
      </c>
    </row>
    <row r="2" spans="2:15" s="28" customFormat="1" x14ac:dyDescent="0.2">
      <c r="B2" s="29"/>
      <c r="N2" s="30">
        <v>44226</v>
      </c>
      <c r="O2" s="30">
        <v>44590</v>
      </c>
    </row>
    <row r="3" spans="2:15" s="2" customFormat="1" x14ac:dyDescent="0.2">
      <c r="B3" s="2" t="s">
        <v>52</v>
      </c>
      <c r="N3" s="26">
        <v>3534.4</v>
      </c>
      <c r="O3" s="26">
        <v>4625.8999999999996</v>
      </c>
    </row>
    <row r="4" spans="2:15" x14ac:dyDescent="0.2">
      <c r="B4" s="1" t="s">
        <v>53</v>
      </c>
      <c r="N4" s="27">
        <v>2231.6999999999998</v>
      </c>
      <c r="O4" s="27">
        <v>2625.3</v>
      </c>
    </row>
    <row r="5" spans="2:15" x14ac:dyDescent="0.2">
      <c r="B5" s="1" t="s">
        <v>54</v>
      </c>
      <c r="N5" s="27">
        <v>54.8</v>
      </c>
      <c r="O5" s="27">
        <v>28.6</v>
      </c>
    </row>
    <row r="6" spans="2:15" s="2" customFormat="1" x14ac:dyDescent="0.2">
      <c r="B6" s="2" t="s">
        <v>55</v>
      </c>
      <c r="N6" s="26">
        <f>N3-N4-N5</f>
        <v>1247.9000000000003</v>
      </c>
      <c r="O6" s="26">
        <f>O3-O4-O5</f>
        <v>1971.9999999999995</v>
      </c>
    </row>
    <row r="7" spans="2:15" x14ac:dyDescent="0.2">
      <c r="B7" s="1" t="s">
        <v>56</v>
      </c>
      <c r="N7" s="27">
        <v>555.79999999999995</v>
      </c>
      <c r="O7" s="27">
        <v>693.7</v>
      </c>
    </row>
    <row r="8" spans="2:15" x14ac:dyDescent="0.2">
      <c r="B8" s="1" t="s">
        <v>57</v>
      </c>
      <c r="N8" s="27">
        <v>246.8</v>
      </c>
      <c r="O8" s="27">
        <v>380.2</v>
      </c>
    </row>
    <row r="9" spans="2:15" x14ac:dyDescent="0.2">
      <c r="B9" s="1" t="s">
        <v>58</v>
      </c>
      <c r="N9" s="27">
        <v>-1.3</v>
      </c>
      <c r="O9" s="27">
        <v>2.5</v>
      </c>
    </row>
    <row r="10" spans="2:15" s="2" customFormat="1" x14ac:dyDescent="0.2">
      <c r="B10" s="2" t="s">
        <v>60</v>
      </c>
      <c r="N10" s="26">
        <f>N6-N7-N8+N9</f>
        <v>444.00000000000034</v>
      </c>
      <c r="O10" s="26">
        <f>O6-O7-O8+O9</f>
        <v>900.59999999999945</v>
      </c>
    </row>
    <row r="11" spans="2:15" x14ac:dyDescent="0.2">
      <c r="B11" s="1" t="s">
        <v>59</v>
      </c>
      <c r="N11" s="27">
        <v>0.5</v>
      </c>
      <c r="O11" s="27">
        <v>4.8</v>
      </c>
    </row>
    <row r="12" spans="2:15" s="2" customFormat="1" x14ac:dyDescent="0.2">
      <c r="B12" s="2" t="s">
        <v>61</v>
      </c>
      <c r="N12" s="26">
        <f>N10+N11</f>
        <v>444.50000000000034</v>
      </c>
      <c r="O12" s="26">
        <f>O10+O11</f>
        <v>905.39999999999941</v>
      </c>
    </row>
    <row r="13" spans="2:15" x14ac:dyDescent="0.2">
      <c r="B13" s="1" t="s">
        <v>62</v>
      </c>
      <c r="N13" s="27">
        <v>0.6</v>
      </c>
      <c r="O13" s="27">
        <v>4.2</v>
      </c>
    </row>
    <row r="14" spans="2:15" x14ac:dyDescent="0.2">
      <c r="B14" s="1" t="s">
        <v>63</v>
      </c>
      <c r="N14" s="27">
        <v>102.7</v>
      </c>
      <c r="O14" s="27">
        <v>86.5</v>
      </c>
    </row>
    <row r="15" spans="2:15" x14ac:dyDescent="0.2">
      <c r="B15" s="1" t="s">
        <v>64</v>
      </c>
      <c r="N15" s="27">
        <f>N12+N13-N14</f>
        <v>342.40000000000038</v>
      </c>
      <c r="O15" s="27">
        <f>O12+O13-O14</f>
        <v>823.09999999999945</v>
      </c>
    </row>
    <row r="16" spans="2:15" x14ac:dyDescent="0.2">
      <c r="B16" s="1" t="s">
        <v>67</v>
      </c>
      <c r="N16" s="27">
        <v>55.7</v>
      </c>
      <c r="O16" s="27">
        <v>145.6</v>
      </c>
    </row>
    <row r="17" spans="2:15" s="2" customFormat="1" x14ac:dyDescent="0.2">
      <c r="B17" s="2" t="s">
        <v>65</v>
      </c>
      <c r="N17" s="26">
        <f>N15-N16</f>
        <v>286.70000000000039</v>
      </c>
      <c r="O17" s="26">
        <f>O15-O16</f>
        <v>677.49999999999943</v>
      </c>
    </row>
    <row r="18" spans="2:15" x14ac:dyDescent="0.2">
      <c r="B18" s="1" t="s">
        <v>66</v>
      </c>
      <c r="N18" s="33">
        <f>N17/N19</f>
        <v>2.2190402476780218</v>
      </c>
      <c r="O18" s="33">
        <f>O17/O19</f>
        <v>5.3095611285266413</v>
      </c>
    </row>
    <row r="19" spans="2:15" x14ac:dyDescent="0.2">
      <c r="B19" s="1" t="s">
        <v>4</v>
      </c>
      <c r="N19" s="1">
        <v>129.19999999999999</v>
      </c>
      <c r="O19" s="1">
        <v>127.6</v>
      </c>
    </row>
    <row r="21" spans="2:15" s="2" customFormat="1" x14ac:dyDescent="0.2">
      <c r="B21" s="2" t="s">
        <v>68</v>
      </c>
      <c r="O21" s="32">
        <f>O3/N3-1</f>
        <v>0.3088218650973289</v>
      </c>
    </row>
    <row r="22" spans="2:15" x14ac:dyDescent="0.2">
      <c r="B22" s="1" t="s">
        <v>69</v>
      </c>
    </row>
    <row r="24" spans="2:15" x14ac:dyDescent="0.2">
      <c r="B24" s="1" t="s">
        <v>70</v>
      </c>
      <c r="N24" s="31">
        <f>N6/N3</f>
        <v>0.35307265731100052</v>
      </c>
      <c r="O24" s="31">
        <f>O6/O3</f>
        <v>0.42629542359324668</v>
      </c>
    </row>
    <row r="25" spans="2:15" x14ac:dyDescent="0.2">
      <c r="B25" s="1" t="s">
        <v>71</v>
      </c>
      <c r="N25" s="31">
        <f>N12/N3</f>
        <v>0.12576392032593944</v>
      </c>
      <c r="O25" s="31">
        <f>O12/O3</f>
        <v>0.19572407531507371</v>
      </c>
    </row>
    <row r="26" spans="2:15" x14ac:dyDescent="0.2">
      <c r="B26" s="1" t="s">
        <v>72</v>
      </c>
      <c r="N26" s="31">
        <f>N17/N3</f>
        <v>8.1117021276595855E-2</v>
      </c>
      <c r="O26" s="31">
        <f>O17/O3</f>
        <v>0.14645798655396777</v>
      </c>
    </row>
    <row r="27" spans="2:15" x14ac:dyDescent="0.2">
      <c r="B27" s="1" t="s">
        <v>73</v>
      </c>
      <c r="N27" s="31">
        <f>N16/N15</f>
        <v>0.16267523364485964</v>
      </c>
      <c r="O27" s="31">
        <f>O16/O15</f>
        <v>0.1768922366662618</v>
      </c>
    </row>
    <row r="30" spans="2:15" x14ac:dyDescent="0.2">
      <c r="B30" s="34" t="s">
        <v>74</v>
      </c>
    </row>
    <row r="31" spans="2:15" x14ac:dyDescent="0.2">
      <c r="B31" s="1" t="s">
        <v>75</v>
      </c>
      <c r="M31" s="27">
        <v>578.5</v>
      </c>
      <c r="N31" s="27">
        <v>474.8</v>
      </c>
      <c r="O31" s="27">
        <v>601.1</v>
      </c>
    </row>
    <row r="32" spans="2:15" x14ac:dyDescent="0.2">
      <c r="B32" s="1" t="s">
        <v>76</v>
      </c>
      <c r="M32" s="27">
        <v>44.2</v>
      </c>
      <c r="N32" s="27">
        <v>60.5</v>
      </c>
      <c r="O32" s="27">
        <v>79.3</v>
      </c>
    </row>
    <row r="33" spans="2:15" x14ac:dyDescent="0.2">
      <c r="B33" s="1" t="s">
        <v>77</v>
      </c>
      <c r="M33" s="27">
        <v>852.7</v>
      </c>
      <c r="N33" s="27">
        <v>720.1</v>
      </c>
      <c r="O33" s="27">
        <v>639.1</v>
      </c>
    </row>
    <row r="34" spans="2:15" x14ac:dyDescent="0.2">
      <c r="B34" s="1" t="s">
        <v>78</v>
      </c>
      <c r="M34" s="27">
        <v>5</v>
      </c>
      <c r="N34" s="27">
        <v>5</v>
      </c>
      <c r="O34" s="27">
        <v>46.2</v>
      </c>
    </row>
    <row r="35" spans="2:15" x14ac:dyDescent="0.2">
      <c r="B35" s="1" t="s">
        <v>79</v>
      </c>
      <c r="M35" s="27">
        <v>133.4</v>
      </c>
      <c r="N35" s="27">
        <v>99.2</v>
      </c>
      <c r="O35" s="27">
        <v>156.9</v>
      </c>
    </row>
    <row r="36" spans="2:15" x14ac:dyDescent="0.2">
      <c r="B36" s="1" t="s">
        <v>80</v>
      </c>
      <c r="M36" s="27">
        <v>48.4</v>
      </c>
      <c r="N36" s="27">
        <v>39.4</v>
      </c>
      <c r="O36" s="27">
        <v>18</v>
      </c>
    </row>
    <row r="37" spans="2:15" x14ac:dyDescent="0.2">
      <c r="B37" s="1" t="s">
        <v>81</v>
      </c>
      <c r="M37" s="27">
        <v>55.7</v>
      </c>
      <c r="N37" s="27">
        <v>70.400000000000006</v>
      </c>
      <c r="O37" s="27">
        <v>34</v>
      </c>
    </row>
    <row r="38" spans="2:15" x14ac:dyDescent="0.2">
      <c r="B38" s="1" t="s">
        <v>82</v>
      </c>
      <c r="M38" s="27">
        <f>SUM(M31:M37)</f>
        <v>1717.9000000000003</v>
      </c>
      <c r="N38" s="27">
        <f>SUM(N31:N37)</f>
        <v>1469.4000000000003</v>
      </c>
      <c r="O38" s="27">
        <f>SUM(O31:O37)</f>
        <v>1574.6000000000001</v>
      </c>
    </row>
    <row r="39" spans="2:15" s="2" customFormat="1" x14ac:dyDescent="0.2">
      <c r="B39" s="2" t="s">
        <v>83</v>
      </c>
      <c r="M39" s="26">
        <v>527.6</v>
      </c>
      <c r="N39" s="26">
        <v>536.9</v>
      </c>
      <c r="O39" s="26">
        <v>633</v>
      </c>
    </row>
    <row r="40" spans="2:15" x14ac:dyDescent="0.2">
      <c r="B40" s="1" t="s">
        <v>84</v>
      </c>
      <c r="M40" s="27">
        <v>1315.3</v>
      </c>
      <c r="N40" s="27">
        <v>1108.0999999999999</v>
      </c>
      <c r="O40" s="27">
        <v>1280.9000000000001</v>
      </c>
    </row>
    <row r="41" spans="2:15" x14ac:dyDescent="0.2">
      <c r="B41" s="1" t="s">
        <v>85</v>
      </c>
      <c r="M41" s="27">
        <v>24.2</v>
      </c>
      <c r="N41" s="27">
        <v>24.3</v>
      </c>
      <c r="O41" s="27">
        <v>24.8</v>
      </c>
    </row>
    <row r="42" spans="2:15" x14ac:dyDescent="0.2">
      <c r="B42" s="1" t="s">
        <v>80</v>
      </c>
      <c r="M42" s="27">
        <v>1.7</v>
      </c>
      <c r="N42" s="27">
        <v>11.1</v>
      </c>
      <c r="O42" s="27">
        <v>35.5</v>
      </c>
    </row>
    <row r="43" spans="2:15" s="2" customFormat="1" x14ac:dyDescent="0.2">
      <c r="B43" s="2" t="s">
        <v>6</v>
      </c>
      <c r="M43" s="26">
        <v>86.6</v>
      </c>
      <c r="N43" s="26">
        <v>608.20000000000005</v>
      </c>
      <c r="O43" s="26">
        <v>433</v>
      </c>
    </row>
    <row r="44" spans="2:15" x14ac:dyDescent="0.2">
      <c r="B44" s="1" t="s">
        <v>86</v>
      </c>
      <c r="M44" s="27">
        <f>M38+SUM(M39:M43)</f>
        <v>3673.3</v>
      </c>
      <c r="N44" s="27">
        <f>N38+SUM(N39:N43)</f>
        <v>3758</v>
      </c>
      <c r="O44" s="27">
        <f>O38+SUM(O39:O43)</f>
        <v>3981.8</v>
      </c>
    </row>
    <row r="45" spans="2:15" x14ac:dyDescent="0.2">
      <c r="O45" s="27"/>
    </row>
    <row r="46" spans="2:15" s="2" customFormat="1" x14ac:dyDescent="0.2">
      <c r="B46" s="2" t="s">
        <v>87</v>
      </c>
      <c r="M46" s="26">
        <v>73.7</v>
      </c>
      <c r="N46" s="26">
        <v>93.4</v>
      </c>
      <c r="O46" s="26">
        <v>233.1</v>
      </c>
    </row>
    <row r="47" spans="2:15" s="2" customFormat="1" x14ac:dyDescent="0.2">
      <c r="B47" s="2" t="s">
        <v>88</v>
      </c>
      <c r="M47" s="26">
        <v>0</v>
      </c>
      <c r="N47" s="26">
        <v>326</v>
      </c>
      <c r="O47" s="26">
        <v>0</v>
      </c>
    </row>
    <row r="48" spans="2:15" x14ac:dyDescent="0.2">
      <c r="B48" s="1" t="s">
        <v>89</v>
      </c>
      <c r="M48" s="27">
        <v>592</v>
      </c>
      <c r="N48" s="27">
        <v>555.29999999999995</v>
      </c>
      <c r="O48" s="27">
        <v>798.4</v>
      </c>
    </row>
    <row r="49" spans="2:15" x14ac:dyDescent="0.2">
      <c r="B49" s="1" t="s">
        <v>90</v>
      </c>
      <c r="M49" s="27">
        <v>172.3</v>
      </c>
      <c r="N49" s="27">
        <v>170.1</v>
      </c>
      <c r="O49" s="27">
        <v>162.6</v>
      </c>
    </row>
    <row r="50" spans="2:15" x14ac:dyDescent="0.2">
      <c r="B50" s="1" t="s">
        <v>91</v>
      </c>
      <c r="M50" s="27">
        <v>32.6</v>
      </c>
      <c r="N50" s="27">
        <v>37.200000000000003</v>
      </c>
      <c r="O50" s="27">
        <v>1</v>
      </c>
    </row>
    <row r="51" spans="2:15" x14ac:dyDescent="0.2">
      <c r="B51" s="1" t="s">
        <v>92</v>
      </c>
      <c r="M51" s="27">
        <v>79.2</v>
      </c>
      <c r="N51" s="27">
        <v>14.8</v>
      </c>
      <c r="O51" s="27">
        <v>13</v>
      </c>
    </row>
    <row r="52" spans="2:15" x14ac:dyDescent="0.2">
      <c r="B52" s="1" t="s">
        <v>93</v>
      </c>
      <c r="M52" s="27">
        <f>SUM(M46:M51)</f>
        <v>949.80000000000007</v>
      </c>
      <c r="N52" s="27">
        <f>SUM(N46:N51)</f>
        <v>1196.8</v>
      </c>
      <c r="O52" s="27">
        <f>SUM(O46:O51)</f>
        <v>1208.0999999999999</v>
      </c>
    </row>
    <row r="53" spans="2:15" s="2" customFormat="1" x14ac:dyDescent="0.2">
      <c r="B53" s="2" t="s">
        <v>88</v>
      </c>
      <c r="M53" s="26">
        <v>1163.7</v>
      </c>
      <c r="N53" s="26">
        <v>837</v>
      </c>
      <c r="O53" s="26">
        <v>815.7</v>
      </c>
    </row>
    <row r="54" spans="2:15" x14ac:dyDescent="0.2">
      <c r="B54" s="1" t="s">
        <v>94</v>
      </c>
      <c r="M54" s="27">
        <v>17.3</v>
      </c>
      <c r="N54" s="27">
        <v>18.600000000000001</v>
      </c>
      <c r="O54" s="27">
        <v>21.9</v>
      </c>
    </row>
    <row r="55" spans="2:15" x14ac:dyDescent="0.2">
      <c r="B55" s="1" t="s">
        <v>91</v>
      </c>
      <c r="M55" s="27">
        <v>7.8</v>
      </c>
      <c r="N55" s="27">
        <v>0</v>
      </c>
      <c r="O55" s="27">
        <v>0</v>
      </c>
    </row>
    <row r="56" spans="2:15" x14ac:dyDescent="0.2">
      <c r="B56" s="1" t="s">
        <v>90</v>
      </c>
      <c r="M56" s="27">
        <v>1078.7</v>
      </c>
      <c r="N56" s="27">
        <v>1015.8</v>
      </c>
      <c r="O56" s="27">
        <v>894.9</v>
      </c>
    </row>
    <row r="57" spans="2:15" x14ac:dyDescent="0.2">
      <c r="B57" s="1" t="s">
        <v>95</v>
      </c>
      <c r="M57" s="27">
        <v>14.5</v>
      </c>
      <c r="N57" s="27">
        <v>28.9</v>
      </c>
      <c r="O57" s="27">
        <v>31.2</v>
      </c>
    </row>
    <row r="58" spans="2:15" x14ac:dyDescent="0.2">
      <c r="B58" s="1" t="s">
        <v>100</v>
      </c>
      <c r="M58" s="27">
        <f>M52+SUM(M53:M57)</f>
        <v>3231.8</v>
      </c>
      <c r="N58" s="27">
        <f>N52+SUM(N53:N57)</f>
        <v>3097.1000000000004</v>
      </c>
      <c r="O58" s="27">
        <f>O52+SUM(O53:O57)</f>
        <v>2971.8</v>
      </c>
    </row>
    <row r="59" spans="2:15" x14ac:dyDescent="0.2">
      <c r="M59" s="27"/>
      <c r="N59" s="27"/>
      <c r="O59" s="27"/>
    </row>
    <row r="60" spans="2:15" x14ac:dyDescent="0.2">
      <c r="B60" s="1" t="s">
        <v>96</v>
      </c>
      <c r="M60" s="27">
        <v>441.5</v>
      </c>
      <c r="N60" s="27">
        <v>660.9</v>
      </c>
      <c r="O60" s="27">
        <v>1010</v>
      </c>
    </row>
    <row r="61" spans="2:15" x14ac:dyDescent="0.2">
      <c r="B61" s="1" t="s">
        <v>97</v>
      </c>
      <c r="M61" s="27">
        <f t="shared" ref="M61:N61" si="0">M60+M58</f>
        <v>3673.3</v>
      </c>
      <c r="N61" s="27">
        <f t="shared" si="0"/>
        <v>3758.0000000000005</v>
      </c>
      <c r="O61" s="27">
        <f>O60+O58</f>
        <v>3981.8</v>
      </c>
    </row>
    <row r="62" spans="2:15" x14ac:dyDescent="0.2">
      <c r="M62" s="27"/>
      <c r="N62" s="27"/>
    </row>
    <row r="63" spans="2:15" x14ac:dyDescent="0.2">
      <c r="B63" s="1" t="s">
        <v>98</v>
      </c>
      <c r="M63" s="27">
        <f>M44-M58</f>
        <v>441.5</v>
      </c>
      <c r="N63" s="27">
        <f>N44-N58</f>
        <v>660.89999999999964</v>
      </c>
      <c r="O63" s="27">
        <f>O44-O58</f>
        <v>1010</v>
      </c>
    </row>
    <row r="64" spans="2:15" x14ac:dyDescent="0.2">
      <c r="B64" s="1" t="s">
        <v>99</v>
      </c>
      <c r="M64" s="33"/>
      <c r="N64" s="33">
        <f>N63/N19</f>
        <v>5.1153250773993788</v>
      </c>
      <c r="O64" s="33">
        <f>O63/O19</f>
        <v>7.9153605015673989</v>
      </c>
    </row>
    <row r="66" spans="2:15" s="2" customFormat="1" x14ac:dyDescent="0.2">
      <c r="B66" s="2" t="s">
        <v>104</v>
      </c>
      <c r="N66" s="32">
        <f>N39/M39-1</f>
        <v>1.7626990144048449E-2</v>
      </c>
      <c r="O66" s="32">
        <f>O39/N39-1</f>
        <v>0.17899050102439928</v>
      </c>
    </row>
    <row r="68" spans="2:15" x14ac:dyDescent="0.2">
      <c r="B68" s="1" t="s">
        <v>105</v>
      </c>
      <c r="N68" s="31">
        <f t="shared" ref="N68" si="1">N39/N3</f>
        <v>0.15190697148030782</v>
      </c>
      <c r="O68" s="31">
        <f>O39/O3</f>
        <v>0.13683823688363347</v>
      </c>
    </row>
  </sheetData>
  <hyperlinks>
    <hyperlink ref="O1" r:id="rId1" xr:uid="{3E41F4F5-C0CF-D74F-8B07-9671EAF60C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30D1-44A4-4922-8340-94198768E22D}">
  <dimension ref="A1"/>
  <sheetViews>
    <sheetView workbookViewId="0">
      <selection activeCell="H17" sqref="H17:H18"/>
    </sheetView>
  </sheetViews>
  <sheetFormatPr defaultColWidth="9.140625"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Trustpilot Reviews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2022-07-22T12:23:44Z</dcterms:created>
  <dcterms:modified xsi:type="dcterms:W3CDTF">2022-09-26T12:23:35Z</dcterms:modified>
</cp:coreProperties>
</file>