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06CCCEC-FEC9-4329-B448-8F2C23D3725F}" xr6:coauthVersionLast="36" xr6:coauthVersionMax="47" xr10:uidLastSave="{00000000-0000-0000-0000-000000000000}"/>
  <bookViews>
    <workbookView xWindow="0" yWindow="495" windowWidth="33600" windowHeight="18900" activeTab="1" xr2:uid="{FA833155-EF57-40A0-B697-E882C94D0343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2" i="2" l="1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I22" i="2"/>
  <c r="H22" i="2"/>
  <c r="G22" i="2"/>
  <c r="F22" i="2"/>
  <c r="E22" i="2"/>
  <c r="D22" i="2"/>
  <c r="C22" i="2"/>
  <c r="V3" i="2" l="1"/>
  <c r="W3" i="2" s="1"/>
  <c r="V4" i="2"/>
  <c r="V5" i="2"/>
  <c r="V9" i="2"/>
  <c r="W9" i="2"/>
  <c r="AA9" i="2" s="1"/>
  <c r="X9" i="2"/>
  <c r="AB9" i="2" s="1"/>
  <c r="Y9" i="2"/>
  <c r="Z9" i="2"/>
  <c r="V10" i="2"/>
  <c r="W10" i="2"/>
  <c r="X10" i="2"/>
  <c r="AB10" i="2" s="1"/>
  <c r="Y10" i="2"/>
  <c r="Z10" i="2"/>
  <c r="AA10" i="2"/>
  <c r="V13" i="2"/>
  <c r="V17" i="2"/>
  <c r="W17" i="2"/>
  <c r="X17" i="2"/>
  <c r="Y17" i="2" s="1"/>
  <c r="Z17" i="2" s="1"/>
  <c r="AA17" i="2" s="1"/>
  <c r="AB17" i="2" s="1"/>
  <c r="V24" i="2"/>
  <c r="U3" i="2"/>
  <c r="W5" i="2" l="1"/>
  <c r="W4" i="2" s="1"/>
  <c r="W13" i="2"/>
  <c r="W24" i="2"/>
  <c r="X3" i="2"/>
  <c r="V6" i="2"/>
  <c r="V8" i="2" s="1"/>
  <c r="V19" i="2"/>
  <c r="V20" i="2" l="1"/>
  <c r="V12" i="2"/>
  <c r="V15" i="2" s="1"/>
  <c r="X5" i="2"/>
  <c r="X4" i="2"/>
  <c r="X13" i="2"/>
  <c r="X24" i="2"/>
  <c r="Y3" i="2"/>
  <c r="W8" i="2"/>
  <c r="W19" i="2"/>
  <c r="W6" i="2"/>
  <c r="W12" i="2" l="1"/>
  <c r="W15" i="2" s="1"/>
  <c r="W20" i="2"/>
  <c r="Y5" i="2"/>
  <c r="Y4" i="2"/>
  <c r="Y13" i="2"/>
  <c r="Y24" i="2"/>
  <c r="Z3" i="2"/>
  <c r="X8" i="2"/>
  <c r="X6" i="2"/>
  <c r="X19" i="2"/>
  <c r="V21" i="2"/>
  <c r="V16" i="2"/>
  <c r="X20" i="2" l="1"/>
  <c r="X12" i="2"/>
  <c r="X15" i="2" s="1"/>
  <c r="Z5" i="2"/>
  <c r="Z4" i="2"/>
  <c r="Z13" i="2"/>
  <c r="Z24" i="2"/>
  <c r="AA3" i="2"/>
  <c r="Y6" i="2"/>
  <c r="Y8" i="2" s="1"/>
  <c r="Y19" i="2"/>
  <c r="W21" i="2"/>
  <c r="W16" i="2"/>
  <c r="Y12" i="2" l="1"/>
  <c r="Y15" i="2" s="1"/>
  <c r="Y20" i="2"/>
  <c r="AA5" i="2"/>
  <c r="AA4" i="2"/>
  <c r="AA13" i="2"/>
  <c r="AA24" i="2"/>
  <c r="AB3" i="2"/>
  <c r="Z8" i="2"/>
  <c r="Z19" i="2"/>
  <c r="Z6" i="2"/>
  <c r="X16" i="2"/>
  <c r="X21" i="2"/>
  <c r="AB13" i="2" l="1"/>
  <c r="AB24" i="2"/>
  <c r="AB5" i="2"/>
  <c r="Z20" i="2"/>
  <c r="Z12" i="2"/>
  <c r="Z15" i="2" s="1"/>
  <c r="AA8" i="2"/>
  <c r="AA19" i="2"/>
  <c r="AA6" i="2"/>
  <c r="Y16" i="2"/>
  <c r="Y21" i="2"/>
  <c r="AA20" i="2" l="1"/>
  <c r="AA12" i="2"/>
  <c r="AA15" i="2" s="1"/>
  <c r="AB19" i="2"/>
  <c r="AB6" i="2"/>
  <c r="AB8" i="2" s="1"/>
  <c r="Z21" i="2"/>
  <c r="Z16" i="2"/>
  <c r="AB4" i="2"/>
  <c r="AB20" i="2" l="1"/>
  <c r="AB12" i="2"/>
  <c r="AB15" i="2" s="1"/>
  <c r="AA16" i="2"/>
  <c r="AA21" i="2"/>
  <c r="AB21" i="2" l="1"/>
  <c r="AB16" i="2"/>
  <c r="AE32" i="2" l="1"/>
  <c r="AE29" i="2"/>
  <c r="T3" i="2"/>
  <c r="T9" i="2"/>
  <c r="T10" i="2"/>
  <c r="U10" i="2"/>
  <c r="T13" i="2"/>
  <c r="T17" i="2"/>
  <c r="U17" i="2"/>
  <c r="T24" i="2"/>
  <c r="S24" i="2"/>
  <c r="S21" i="2"/>
  <c r="S16" i="2"/>
  <c r="S17" i="2"/>
  <c r="S15" i="2"/>
  <c r="S13" i="2"/>
  <c r="S12" i="2"/>
  <c r="S10" i="2"/>
  <c r="S9" i="2"/>
  <c r="S6" i="2"/>
  <c r="S8" i="2"/>
  <c r="S20" i="2" s="1"/>
  <c r="S19" i="2"/>
  <c r="S4" i="2"/>
  <c r="S5" i="2"/>
  <c r="U13" i="2" l="1"/>
  <c r="U24" i="2"/>
  <c r="U5" i="2"/>
  <c r="U9" i="2"/>
  <c r="T5" i="2"/>
  <c r="U6" i="2" l="1"/>
  <c r="U19" i="2"/>
  <c r="U8" i="2"/>
  <c r="U4" i="2"/>
  <c r="T19" i="2"/>
  <c r="T4" i="2"/>
  <c r="T6" i="2"/>
  <c r="T8" i="2" s="1"/>
  <c r="T20" i="2" l="1"/>
  <c r="T12" i="2"/>
  <c r="T15" i="2" s="1"/>
  <c r="U12" i="2"/>
  <c r="U15" i="2" s="1"/>
  <c r="U20" i="2"/>
  <c r="T16" i="2" l="1"/>
  <c r="T21" i="2"/>
  <c r="U16" i="2"/>
  <c r="U21" i="2"/>
  <c r="AC15" i="2" l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l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AE28" i="2"/>
  <c r="AE30" i="2" s="1"/>
  <c r="AE31" i="2" s="1"/>
  <c r="AE33" i="2" s="1"/>
  <c r="S3" i="2" l="1"/>
  <c r="R24" i="2"/>
  <c r="R21" i="2"/>
  <c r="R20" i="2"/>
  <c r="R16" i="2"/>
  <c r="R15" i="2"/>
  <c r="R13" i="2"/>
  <c r="R12" i="2"/>
  <c r="R8" i="2"/>
  <c r="R6" i="2"/>
  <c r="R7" i="2"/>
  <c r="F58" i="2"/>
  <c r="F55" i="2"/>
  <c r="F54" i="2"/>
  <c r="F53" i="2"/>
  <c r="F52" i="2"/>
  <c r="F51" i="2"/>
  <c r="F50" i="2"/>
  <c r="F48" i="2"/>
  <c r="F47" i="2"/>
  <c r="F46" i="2"/>
  <c r="F45" i="2"/>
  <c r="F44" i="2"/>
  <c r="F43" i="2"/>
  <c r="F40" i="2"/>
  <c r="F39" i="2"/>
  <c r="F38" i="2"/>
  <c r="F37" i="2"/>
  <c r="F36" i="2"/>
  <c r="F34" i="2"/>
  <c r="F33" i="2"/>
  <c r="F32" i="2"/>
  <c r="F31" i="2"/>
  <c r="F30" i="2"/>
  <c r="F29" i="2"/>
  <c r="D58" i="2"/>
  <c r="D55" i="2"/>
  <c r="D54" i="2"/>
  <c r="D53" i="2"/>
  <c r="D52" i="2"/>
  <c r="D51" i="2"/>
  <c r="D50" i="2"/>
  <c r="D48" i="2"/>
  <c r="D47" i="2"/>
  <c r="D46" i="2"/>
  <c r="D45" i="2"/>
  <c r="D44" i="2"/>
  <c r="D43" i="2"/>
  <c r="D40" i="2"/>
  <c r="D39" i="2"/>
  <c r="D38" i="2"/>
  <c r="D37" i="2"/>
  <c r="D36" i="2"/>
  <c r="D34" i="2"/>
  <c r="D33" i="2"/>
  <c r="D32" i="2"/>
  <c r="D31" i="2"/>
  <c r="D30" i="2"/>
  <c r="D29" i="2"/>
  <c r="C49" i="2"/>
  <c r="C56" i="2" s="1"/>
  <c r="C59" i="2" s="1"/>
  <c r="E49" i="2"/>
  <c r="E56" i="2" s="1"/>
  <c r="C35" i="2"/>
  <c r="C41" i="2" s="1"/>
  <c r="E35" i="2"/>
  <c r="E41" i="2" s="1"/>
  <c r="E59" i="2" l="1"/>
  <c r="E24" i="2"/>
  <c r="D14" i="2"/>
  <c r="D13" i="2"/>
  <c r="D11" i="2"/>
  <c r="D10" i="2"/>
  <c r="D9" i="2"/>
  <c r="D7" i="2"/>
  <c r="D6" i="2"/>
  <c r="D4" i="2"/>
  <c r="D3" i="2"/>
  <c r="D25" i="2" s="1"/>
  <c r="D17" i="2"/>
  <c r="C5" i="2"/>
  <c r="C8" i="2" s="1"/>
  <c r="C19" i="2" l="1"/>
  <c r="C12" i="2"/>
  <c r="C15" i="2" s="1"/>
  <c r="C20" i="2"/>
  <c r="E25" i="2"/>
  <c r="G24" i="2"/>
  <c r="F14" i="2"/>
  <c r="F13" i="2"/>
  <c r="F11" i="2"/>
  <c r="F10" i="2"/>
  <c r="F9" i="2"/>
  <c r="F7" i="2"/>
  <c r="F6" i="2"/>
  <c r="F17" i="2"/>
  <c r="F4" i="2"/>
  <c r="F3" i="2"/>
  <c r="F24" i="2" s="1"/>
  <c r="E5" i="2"/>
  <c r="E8" i="2" s="1"/>
  <c r="E20" i="2" s="1"/>
  <c r="N49" i="2"/>
  <c r="N56" i="2" s="1"/>
  <c r="N59" i="2" s="1"/>
  <c r="M49" i="2"/>
  <c r="M56" i="2" s="1"/>
  <c r="M59" i="2" s="1"/>
  <c r="N35" i="2"/>
  <c r="N41" i="2" s="1"/>
  <c r="M35" i="2"/>
  <c r="M41" i="2" s="1"/>
  <c r="N24" i="2"/>
  <c r="O24" i="2"/>
  <c r="M5" i="2"/>
  <c r="M8" i="2" s="1"/>
  <c r="N5" i="2"/>
  <c r="N8" i="2" s="1"/>
  <c r="R17" i="2"/>
  <c r="P24" i="2"/>
  <c r="Q24" i="2"/>
  <c r="R3" i="2"/>
  <c r="R4" i="2" s="1"/>
  <c r="R5" i="2" s="1"/>
  <c r="R19" i="2" s="1"/>
  <c r="O49" i="2"/>
  <c r="O35" i="2"/>
  <c r="O5" i="2"/>
  <c r="P5" i="2"/>
  <c r="P19" i="2" s="1"/>
  <c r="I49" i="2"/>
  <c r="I56" i="2" s="1"/>
  <c r="I59" i="2" s="1"/>
  <c r="I35" i="2"/>
  <c r="I41" i="2" s="1"/>
  <c r="H58" i="2"/>
  <c r="H44" i="2"/>
  <c r="H45" i="2"/>
  <c r="H46" i="2"/>
  <c r="H47" i="2"/>
  <c r="H48" i="2"/>
  <c r="H50" i="2"/>
  <c r="H51" i="2"/>
  <c r="H52" i="2"/>
  <c r="H53" i="2"/>
  <c r="H54" i="2"/>
  <c r="H55" i="2"/>
  <c r="H43" i="2"/>
  <c r="H30" i="2"/>
  <c r="H31" i="2"/>
  <c r="H32" i="2"/>
  <c r="H33" i="2"/>
  <c r="H34" i="2"/>
  <c r="H36" i="2"/>
  <c r="H37" i="2"/>
  <c r="H38" i="2"/>
  <c r="H39" i="2"/>
  <c r="H40" i="2"/>
  <c r="H29" i="2"/>
  <c r="H17" i="2"/>
  <c r="H14" i="2"/>
  <c r="H13" i="2"/>
  <c r="H11" i="2"/>
  <c r="H10" i="2"/>
  <c r="H9" i="2"/>
  <c r="H7" i="2"/>
  <c r="H6" i="2"/>
  <c r="H4" i="2"/>
  <c r="H3" i="2"/>
  <c r="H24" i="2" s="1"/>
  <c r="P49" i="2"/>
  <c r="P35" i="2"/>
  <c r="Q49" i="2"/>
  <c r="Q56" i="2" s="1"/>
  <c r="Q59" i="2" s="1"/>
  <c r="H59" i="2" s="1"/>
  <c r="Q35" i="2"/>
  <c r="Q41" i="2" s="1"/>
  <c r="H41" i="2" s="1"/>
  <c r="Q5" i="2"/>
  <c r="Q19" i="2" s="1"/>
  <c r="I24" i="2"/>
  <c r="G5" i="2"/>
  <c r="G8" i="2" s="1"/>
  <c r="I5" i="2"/>
  <c r="I19" i="2" s="1"/>
  <c r="O56" i="2" l="1"/>
  <c r="D49" i="2"/>
  <c r="P56" i="2"/>
  <c r="F49" i="2"/>
  <c r="O41" i="2"/>
  <c r="D41" i="2" s="1"/>
  <c r="D35" i="2"/>
  <c r="N19" i="2"/>
  <c r="P41" i="2"/>
  <c r="F41" i="2" s="1"/>
  <c r="F35" i="2"/>
  <c r="M19" i="2"/>
  <c r="N12" i="2"/>
  <c r="N15" i="2" s="1"/>
  <c r="N20" i="2"/>
  <c r="M12" i="2"/>
  <c r="M15" i="2" s="1"/>
  <c r="M20" i="2"/>
  <c r="E12" i="2"/>
  <c r="E15" i="2" s="1"/>
  <c r="E16" i="2" s="1"/>
  <c r="O8" i="2"/>
  <c r="O20" i="2" s="1"/>
  <c r="D5" i="2"/>
  <c r="F5" i="2"/>
  <c r="F25" i="2"/>
  <c r="E19" i="2"/>
  <c r="O19" i="2"/>
  <c r="G25" i="2"/>
  <c r="C16" i="2"/>
  <c r="C21" i="2"/>
  <c r="H5" i="2"/>
  <c r="H19" i="2" s="1"/>
  <c r="H25" i="2"/>
  <c r="P8" i="2"/>
  <c r="I25" i="2"/>
  <c r="H56" i="2"/>
  <c r="H8" i="2"/>
  <c r="H49" i="2"/>
  <c r="Q8" i="2"/>
  <c r="H35" i="2"/>
  <c r="G12" i="2"/>
  <c r="G15" i="2" s="1"/>
  <c r="G20" i="2"/>
  <c r="G19" i="2"/>
  <c r="I8" i="2"/>
  <c r="C8" i="1"/>
  <c r="C11" i="1"/>
  <c r="P59" i="2" l="1"/>
  <c r="F59" i="2" s="1"/>
  <c r="F56" i="2"/>
  <c r="O59" i="2"/>
  <c r="D59" i="2" s="1"/>
  <c r="D56" i="2"/>
  <c r="E21" i="2"/>
  <c r="M16" i="2"/>
  <c r="M21" i="2"/>
  <c r="F8" i="2"/>
  <c r="F19" i="2"/>
  <c r="D19" i="2"/>
  <c r="D8" i="2"/>
  <c r="O12" i="2"/>
  <c r="O15" i="2" s="1"/>
  <c r="O21" i="2" s="1"/>
  <c r="N21" i="2"/>
  <c r="N16" i="2"/>
  <c r="P20" i="2"/>
  <c r="P12" i="2"/>
  <c r="P15" i="2" s="1"/>
  <c r="Q20" i="2"/>
  <c r="Q12" i="2"/>
  <c r="Q15" i="2" s="1"/>
  <c r="H12" i="2"/>
  <c r="H15" i="2" s="1"/>
  <c r="H20" i="2"/>
  <c r="I12" i="2"/>
  <c r="I15" i="2" s="1"/>
  <c r="I20" i="2"/>
  <c r="G16" i="2"/>
  <c r="G21" i="2"/>
  <c r="C12" i="1"/>
  <c r="D12" i="2" l="1"/>
  <c r="D15" i="2" s="1"/>
  <c r="D20" i="2"/>
  <c r="O16" i="2"/>
  <c r="F20" i="2"/>
  <c r="F12" i="2"/>
  <c r="P21" i="2"/>
  <c r="P16" i="2"/>
  <c r="Q21" i="2"/>
  <c r="Q16" i="2"/>
  <c r="H21" i="2"/>
  <c r="H16" i="2"/>
  <c r="I16" i="2"/>
  <c r="I21" i="2"/>
  <c r="F15" i="2" l="1"/>
  <c r="F21" i="2" s="1"/>
  <c r="D16" i="2"/>
  <c r="D21" i="2"/>
  <c r="F16" i="2" l="1"/>
</calcChain>
</file>

<file path=xl/sharedStrings.xml><?xml version="1.0" encoding="utf-8"?>
<sst xmlns="http://schemas.openxmlformats.org/spreadsheetml/2006/main" count="595" uniqueCount="99">
  <si>
    <t>£RNK</t>
  </si>
  <si>
    <t>Rank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</si>
  <si>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</si>
  <si>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</si>
  <si>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</si>
  <si>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</si>
  <si>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</si>
  <si>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</si>
  <si>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</si>
  <si>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</si>
  <si>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</si>
  <si>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</si>
  <si>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</si>
  <si>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H119</t>
  </si>
  <si>
    <t>H219</t>
  </si>
  <si>
    <t>H121</t>
  </si>
  <si>
    <t>H221</t>
  </si>
  <si>
    <t>FY18</t>
  </si>
  <si>
    <t>FY19</t>
  </si>
  <si>
    <t>FY20</t>
  </si>
  <si>
    <t>FY21</t>
  </si>
  <si>
    <t>FY22</t>
  </si>
  <si>
    <t>Revenue</t>
  </si>
  <si>
    <t>COGS</t>
  </si>
  <si>
    <t>Gross Profit</t>
  </si>
  <si>
    <t>Operating Costs</t>
  </si>
  <si>
    <t>Operating Income</t>
  </si>
  <si>
    <t>Operating Profit</t>
  </si>
  <si>
    <t>Finance Costs</t>
  </si>
  <si>
    <t>Finance Income</t>
  </si>
  <si>
    <t>Other financial G/L</t>
  </si>
  <si>
    <t>Pretax Income</t>
  </si>
  <si>
    <t>Taxes</t>
  </si>
  <si>
    <t>Discontinued Ops</t>
  </si>
  <si>
    <t>Net Income</t>
  </si>
  <si>
    <t>EPS</t>
  </si>
  <si>
    <t>Gross Margin %</t>
  </si>
  <si>
    <t>Operating Margin %</t>
  </si>
  <si>
    <t>Net Margin %</t>
  </si>
  <si>
    <t>Taxes %</t>
  </si>
  <si>
    <t>Revenue Y/Y</t>
  </si>
  <si>
    <t>Revenue H/H</t>
  </si>
  <si>
    <t>Balance Sheet</t>
  </si>
  <si>
    <t>Intangibles</t>
  </si>
  <si>
    <t>PP&amp;E</t>
  </si>
  <si>
    <t xml:space="preserve">Right of Use </t>
  </si>
  <si>
    <t>Investments</t>
  </si>
  <si>
    <t>Deferred Taxes</t>
  </si>
  <si>
    <t>Other Receivables</t>
  </si>
  <si>
    <t>Total NCA</t>
  </si>
  <si>
    <t>Inventories</t>
  </si>
  <si>
    <t>Government Grants</t>
  </si>
  <si>
    <t>Income Tax Recievables</t>
  </si>
  <si>
    <t>Cash &amp; Short Term Deposits</t>
  </si>
  <si>
    <t>Assets</t>
  </si>
  <si>
    <t>Trade &amp; AP</t>
  </si>
  <si>
    <t>Lease Liabilities</t>
  </si>
  <si>
    <t>Income Tax Payable</t>
  </si>
  <si>
    <t>Financial Guarantees</t>
  </si>
  <si>
    <t>Loans &amp; Borrowings</t>
  </si>
  <si>
    <t>Provisions</t>
  </si>
  <si>
    <t>Current Liabiltiies</t>
  </si>
  <si>
    <t>Retirement Obligations</t>
  </si>
  <si>
    <t>Liabilities</t>
  </si>
  <si>
    <t>S/E</t>
  </si>
  <si>
    <t>L+S/E</t>
  </si>
  <si>
    <t>FY17</t>
  </si>
  <si>
    <t>Mr. John O'Reilly</t>
  </si>
  <si>
    <t>Mr. Richard Harris</t>
  </si>
  <si>
    <t>H122</t>
  </si>
  <si>
    <t>H222</t>
  </si>
  <si>
    <t>FY23</t>
  </si>
  <si>
    <t>(Projected)</t>
  </si>
  <si>
    <t>Overview</t>
  </si>
  <si>
    <t>Grosvenor Venues, Mecca Venues, Digital, and International Venues segments</t>
  </si>
  <si>
    <t>Profile</t>
  </si>
  <si>
    <t>Key Events</t>
  </si>
  <si>
    <t>Founded</t>
  </si>
  <si>
    <t>HQ</t>
  </si>
  <si>
    <t>Maidenhead, UK</t>
  </si>
  <si>
    <t>-</t>
  </si>
  <si>
    <t>H220</t>
  </si>
  <si>
    <t>H120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</si>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</sst>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#,##0.0_);[Red]\(#,##0.0\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9"/>
      <color theme="1" tint="0.499984740745262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5" xfId="0" applyFont="1" applyBorder="1"/>
    <xf numFmtId="0" fontId="1" fillId="0" borderId="8" xfId="0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4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0" fontId="2" fillId="5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9" fontId="2" fillId="0" borderId="0" xfId="1" applyFont="1"/>
    <xf numFmtId="0" fontId="7" fillId="0" borderId="0" xfId="0" applyFont="1"/>
    <xf numFmtId="2" fontId="1" fillId="5" borderId="0" xfId="0" applyNumberFormat="1" applyFont="1" applyFill="1"/>
    <xf numFmtId="9" fontId="1" fillId="5" borderId="0" xfId="1" applyFont="1" applyFill="1"/>
    <xf numFmtId="14" fontId="6" fillId="5" borderId="0" xfId="0" applyNumberFormat="1" applyFont="1" applyFill="1" applyAlignment="1">
      <alignment horizontal="right"/>
    </xf>
    <xf numFmtId="3" fontId="1" fillId="0" borderId="0" xfId="0" applyNumberFormat="1" applyFont="1"/>
    <xf numFmtId="165" fontId="1" fillId="0" borderId="0" xfId="0" applyNumberFormat="1" applyFont="1" applyBorder="1"/>
    <xf numFmtId="165" fontId="1" fillId="0" borderId="7" xfId="0" applyNumberFormat="1" applyFont="1" applyBorder="1"/>
    <xf numFmtId="9" fontId="1" fillId="0" borderId="0" xfId="1" applyFont="1"/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8" fillId="6" borderId="0" xfId="0" applyFont="1" applyFill="1" applyAlignment="1">
      <alignment horizontal="right"/>
    </xf>
    <xf numFmtId="2" fontId="1" fillId="6" borderId="0" xfId="0" applyNumberFormat="1" applyFont="1" applyFill="1"/>
    <xf numFmtId="9" fontId="1" fillId="6" borderId="0" xfId="1" applyFont="1" applyFill="1"/>
    <xf numFmtId="0" fontId="9" fillId="0" borderId="0" xfId="0" applyFont="1"/>
    <xf numFmtId="164" fontId="2" fillId="7" borderId="0" xfId="0" applyNumberFormat="1" applyFont="1" applyFill="1"/>
    <xf numFmtId="165" fontId="1" fillId="6" borderId="0" xfId="0" applyNumberFormat="1" applyFont="1" applyFill="1"/>
    <xf numFmtId="0" fontId="2" fillId="2" borderId="0" xfId="0" applyFont="1" applyFill="1"/>
    <xf numFmtId="2" fontId="1" fillId="0" borderId="0" xfId="0" applyNumberFormat="1" applyFont="1"/>
    <xf numFmtId="9" fontId="2" fillId="5" borderId="0" xfId="1" applyFont="1" applyFill="1"/>
    <xf numFmtId="165" fontId="2" fillId="6" borderId="0" xfId="0" applyNumberFormat="1" applyFont="1" applyFill="1"/>
    <xf numFmtId="164" fontId="2" fillId="6" borderId="0" xfId="0" applyNumberFormat="1" applyFont="1" applyFill="1"/>
    <xf numFmtId="164" fontId="1" fillId="6" borderId="0" xfId="0" applyNumberFormat="1" applyFont="1" applyFill="1"/>
    <xf numFmtId="4" fontId="1" fillId="6" borderId="0" xfId="0" applyNumberFormat="1" applyFont="1" applyFill="1"/>
    <xf numFmtId="9" fontId="1" fillId="6" borderId="0" xfId="0" applyNumberFormat="1" applyFont="1" applyFill="1"/>
    <xf numFmtId="9" fontId="2" fillId="6" borderId="0" xfId="1" applyFont="1" applyFill="1"/>
    <xf numFmtId="165" fontId="1" fillId="0" borderId="0" xfId="0" applyNumberFormat="1" applyFont="1"/>
    <xf numFmtId="164" fontId="1" fillId="0" borderId="0" xfId="1" applyNumberFormat="1" applyFont="1"/>
    <xf numFmtId="0" fontId="8" fillId="0" borderId="0" xfId="0" applyFont="1" applyAlignment="1">
      <alignment horizontal="right"/>
    </xf>
    <xf numFmtId="164" fontId="1" fillId="0" borderId="0" xfId="0" applyNumberFormat="1" applyFont="1" applyFill="1"/>
    <xf numFmtId="0" fontId="5" fillId="3" borderId="1" xfId="0" applyFont="1" applyFill="1" applyBorder="1"/>
    <xf numFmtId="9" fontId="5" fillId="4" borderId="3" xfId="0" applyNumberFormat="1" applyFont="1" applyFill="1" applyBorder="1"/>
    <xf numFmtId="0" fontId="5" fillId="3" borderId="4" xfId="0" applyFont="1" applyFill="1" applyBorder="1"/>
    <xf numFmtId="9" fontId="5" fillId="4" borderId="5" xfId="0" applyNumberFormat="1" applyFont="1" applyFill="1" applyBorder="1"/>
    <xf numFmtId="166" fontId="5" fillId="4" borderId="5" xfId="0" applyNumberFormat="1" applyFont="1" applyFill="1" applyBorder="1"/>
    <xf numFmtId="0" fontId="9" fillId="3" borderId="4" xfId="0" applyFont="1" applyFill="1" applyBorder="1"/>
    <xf numFmtId="2" fontId="9" fillId="4" borderId="5" xfId="0" applyNumberFormat="1" applyFont="1" applyFill="1" applyBorder="1"/>
    <xf numFmtId="0" fontId="5" fillId="3" borderId="6" xfId="0" applyFont="1" applyFill="1" applyBorder="1"/>
    <xf numFmtId="9" fontId="5" fillId="4" borderId="8" xfId="1" applyFont="1" applyFill="1" applyBorder="1"/>
    <xf numFmtId="2" fontId="5" fillId="4" borderId="5" xfId="0" applyNumberFormat="1" applyFont="1" applyFill="1" applyBorder="1"/>
    <xf numFmtId="2" fontId="1" fillId="0" borderId="0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1</xdr:row>
      <xdr:rowOff>0</xdr:rowOff>
    </xdr:from>
    <xdr:to>
      <xdr:col>7</xdr:col>
      <xdr:colOff>361033</xdr:colOff>
      <xdr:row>4</xdr:row>
      <xdr:rowOff>57150</xdr:rowOff>
    </xdr:to>
    <xdr:pic>
      <xdr:nvPicPr>
        <xdr:cNvPr id="3" name="Picture 2" descr="The Rank Group - Wikipedia">
          <a:extLst>
            <a:ext uri="{FF2B5EF4-FFF2-40B4-BE49-F238E27FC236}">
              <a16:creationId xmlns:a16="http://schemas.microsoft.com/office/drawing/2014/main" id="{57B7D1C3-4C1E-4B91-823B-704891E73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1" y="161925"/>
          <a:ext cx="1580232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</xdr:row>
      <xdr:rowOff>152400</xdr:rowOff>
    </xdr:from>
    <xdr:to>
      <xdr:col>18</xdr:col>
      <xdr:colOff>381000</xdr:colOff>
      <xdr:row>29</xdr:row>
      <xdr:rowOff>76200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F53141DD-0DDA-4C1A-2E90-0F26044D5416}"/>
            </a:ext>
          </a:extLst>
        </xdr:cNvPr>
        <xdr:cNvGrpSpPr/>
      </xdr:nvGrpSpPr>
      <xdr:grpSpPr>
        <a:xfrm>
          <a:off x="3048000" y="2286000"/>
          <a:ext cx="8305800" cy="2514600"/>
          <a:chOff x="3492500" y="2324100"/>
          <a:chExt cx="9461500" cy="2565400"/>
        </a:xfrm>
      </xdr:grpSpPr>
      <xdr:pic>
        <xdr:nvPicPr>
          <xdr:cNvPr id="4" name="Picture 3" descr="Chat loading/not found">
            <a:extLst>
              <a:ext uri="{FF2B5EF4-FFF2-40B4-BE49-F238E27FC236}">
                <a16:creationId xmlns:a16="http://schemas.microsoft.com/office/drawing/2014/main" id="{5A54EAE4-4E90-E291-4153-14309DC3517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92500" y="2324100"/>
            <a:ext cx="9461500" cy="25654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63C8B5D3-3DFB-1CC1-6399-76C9B4248FA5}"/>
              </a:ext>
            </a:extLst>
          </xdr:cNvPr>
          <xdr:cNvSpPr/>
        </xdr:nvSpPr>
        <xdr:spPr>
          <a:xfrm>
            <a:off x="9398000" y="2362200"/>
            <a:ext cx="1524000" cy="2324100"/>
          </a:xfrm>
          <a:prstGeom prst="rect">
            <a:avLst/>
          </a:prstGeom>
          <a:solidFill>
            <a:schemeClr val="accent2">
              <a:alpha val="32000"/>
            </a:schemeClr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9</xdr:col>
      <xdr:colOff>9525</xdr:colOff>
      <xdr:row>60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C4D5C7C-8B9D-4EC7-A7D0-8D1D4E1C850D}"/>
            </a:ext>
          </a:extLst>
        </xdr:cNvPr>
        <xdr:cNvCxnSpPr/>
      </xdr:nvCxnSpPr>
      <xdr:spPr>
        <a:xfrm>
          <a:off x="6257925" y="0"/>
          <a:ext cx="0" cy="9744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0</xdr:row>
      <xdr:rowOff>0</xdr:rowOff>
    </xdr:from>
    <xdr:to>
      <xdr:col>17</xdr:col>
      <xdr:colOff>19050</xdr:colOff>
      <xdr:row>60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DA553A3-DBA0-4215-8A69-2CB4B0B6C9DA}"/>
            </a:ext>
          </a:extLst>
        </xdr:cNvPr>
        <xdr:cNvCxnSpPr/>
      </xdr:nvCxnSpPr>
      <xdr:spPr>
        <a:xfrm>
          <a:off x="10020300" y="0"/>
          <a:ext cx="0" cy="9744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CF0E-2E1F-4BDE-9BE4-F8F613005AAC}">
  <dimension ref="B2:N34"/>
  <sheetViews>
    <sheetView workbookViewId="0">
      <selection activeCell="T7" sqref="T7"/>
    </sheetView>
  </sheetViews>
  <sheetFormatPr defaultColWidth="9.140625" defaultRowHeight="12.75" x14ac:dyDescent="0.2"/>
  <cols>
    <col min="1" max="16384" width="9.140625" style="1"/>
  </cols>
  <sheetData>
    <row r="2" spans="2:14" ht="15" x14ac:dyDescent="0.25">
      <c r="B2" s="3" t="s">
        <v>0</v>
      </c>
      <c r="F2"/>
    </row>
    <row r="3" spans="2:14" x14ac:dyDescent="0.2">
      <c r="B3" s="2" t="s">
        <v>1</v>
      </c>
    </row>
    <row r="5" spans="2:14" x14ac:dyDescent="0.2">
      <c r="B5" s="63" t="s">
        <v>2</v>
      </c>
      <c r="C5" s="64"/>
      <c r="D5" s="65"/>
    </row>
    <row r="6" spans="2:14" x14ac:dyDescent="0.2">
      <c r="B6" s="6" t="s">
        <v>3</v>
      </c>
      <c r="C6" s="62">
        <v>0.83</v>
      </c>
      <c r="D6" s="4"/>
      <c r="F6" s="63" t="s">
        <v>73</v>
      </c>
      <c r="G6" s="64"/>
      <c r="H6" s="64"/>
      <c r="I6" s="64"/>
      <c r="J6" s="64"/>
      <c r="K6" s="64"/>
      <c r="L6" s="64"/>
      <c r="M6" s="64"/>
      <c r="N6" s="65"/>
    </row>
    <row r="7" spans="2:14" x14ac:dyDescent="0.2">
      <c r="B7" s="6" t="s">
        <v>4</v>
      </c>
      <c r="C7" s="27">
        <v>468.43</v>
      </c>
      <c r="D7" s="4" t="s">
        <v>15</v>
      </c>
      <c r="F7" s="66" t="s">
        <v>74</v>
      </c>
      <c r="G7" s="67"/>
      <c r="H7" s="67"/>
      <c r="I7" s="67"/>
      <c r="J7" s="67"/>
      <c r="K7" s="67"/>
      <c r="L7" s="67"/>
      <c r="M7" s="67"/>
      <c r="N7" s="68"/>
    </row>
    <row r="8" spans="2:14" x14ac:dyDescent="0.2">
      <c r="B8" s="6" t="s">
        <v>5</v>
      </c>
      <c r="C8" s="27">
        <f>C6*C7</f>
        <v>388.79689999999999</v>
      </c>
      <c r="D8" s="4"/>
    </row>
    <row r="9" spans="2:14" x14ac:dyDescent="0.2">
      <c r="B9" s="6" t="s">
        <v>6</v>
      </c>
      <c r="C9" s="27">
        <v>165.3</v>
      </c>
      <c r="D9" s="4" t="s">
        <v>15</v>
      </c>
    </row>
    <row r="10" spans="2:14" x14ac:dyDescent="0.2">
      <c r="B10" s="6" t="s">
        <v>7</v>
      </c>
      <c r="C10" s="27">
        <v>77.7</v>
      </c>
      <c r="D10" s="4" t="s">
        <v>15</v>
      </c>
    </row>
    <row r="11" spans="2:14" x14ac:dyDescent="0.2">
      <c r="B11" s="6" t="s">
        <v>8</v>
      </c>
      <c r="C11" s="27">
        <f>C9-C10</f>
        <v>87.600000000000009</v>
      </c>
      <c r="D11" s="4"/>
      <c r="F11" s="39" t="s">
        <v>76</v>
      </c>
    </row>
    <row r="12" spans="2:14" x14ac:dyDescent="0.2">
      <c r="B12" s="7" t="s">
        <v>9</v>
      </c>
      <c r="C12" s="28">
        <f>C8-C11</f>
        <v>301.19689999999997</v>
      </c>
      <c r="D12" s="5"/>
    </row>
    <row r="15" spans="2:14" x14ac:dyDescent="0.2">
      <c r="B15" s="69" t="s">
        <v>10</v>
      </c>
      <c r="C15" s="70"/>
      <c r="D15" s="71"/>
    </row>
    <row r="16" spans="2:14" x14ac:dyDescent="0.2">
      <c r="B16" s="8" t="s">
        <v>11</v>
      </c>
      <c r="C16" s="72" t="s">
        <v>67</v>
      </c>
      <c r="D16" s="73"/>
    </row>
    <row r="17" spans="2:4" x14ac:dyDescent="0.2">
      <c r="B17" s="9" t="s">
        <v>12</v>
      </c>
      <c r="C17" s="67" t="s">
        <v>68</v>
      </c>
      <c r="D17" s="68"/>
    </row>
    <row r="20" spans="2:4" x14ac:dyDescent="0.2">
      <c r="B20" s="69" t="s">
        <v>75</v>
      </c>
      <c r="C20" s="70"/>
      <c r="D20" s="71"/>
    </row>
    <row r="21" spans="2:4" x14ac:dyDescent="0.2">
      <c r="B21" s="6" t="s">
        <v>77</v>
      </c>
      <c r="C21" s="72">
        <v>1937</v>
      </c>
      <c r="D21" s="73"/>
    </row>
    <row r="22" spans="2:4" x14ac:dyDescent="0.2">
      <c r="B22" s="7" t="s">
        <v>78</v>
      </c>
      <c r="C22" s="67" t="s">
        <v>79</v>
      </c>
      <c r="D22" s="68"/>
    </row>
    <row r="34" spans="14:14" ht="15" x14ac:dyDescent="0.25">
      <c r="N34"/>
    </row>
  </sheetData>
  <mergeCells count="9">
    <mergeCell ref="F6:N6"/>
    <mergeCell ref="F7:N7"/>
    <mergeCell ref="C22:D22"/>
    <mergeCell ref="B20:D20"/>
    <mergeCell ref="B5:D5"/>
    <mergeCell ref="B15:D15"/>
    <mergeCell ref="C16:D16"/>
    <mergeCell ref="C17:D17"/>
    <mergeCell ref="C21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6F4D-609C-4ED9-AB72-14B1E2ACC01A}">
  <dimension ref="A1:CE59"/>
  <sheetViews>
    <sheetView tabSelected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M12" sqref="M12"/>
    </sheetView>
  </sheetViews>
  <sheetFormatPr defaultColWidth="9.140625" defaultRowHeight="15" x14ac:dyDescent="0.25"/>
  <cols>
    <col min="1" max="1" width="3.140625" style="1" customWidth="1"/>
    <col min="2" max="2" width="25.140625" style="1" bestFit="1" customWidth="1"/>
    <col min="3" max="3" width="9.85546875" style="1" bestFit="1" customWidth="1"/>
    <col min="4" max="4" width="9.85546875" style="20" bestFit="1" customWidth="1"/>
    <col min="5" max="5" width="9.85546875" style="1" bestFit="1" customWidth="1"/>
    <col min="6" max="6" width="9.85546875" style="20" bestFit="1" customWidth="1"/>
    <col min="7" max="7" width="9.85546875" style="1" bestFit="1" customWidth="1"/>
    <col min="8" max="8" width="9.85546875" style="20" bestFit="1" customWidth="1"/>
    <col min="9" max="9" width="9.85546875" style="16" customWidth="1"/>
    <col min="10" max="10" width="9.140625" style="32"/>
    <col min="11" max="12" width="9.140625" style="1"/>
    <col min="13" max="13" width="9.85546875" style="1" bestFit="1" customWidth="1"/>
    <col min="14" max="14" width="9.85546875" bestFit="1" customWidth="1"/>
    <col min="15" max="17" width="9.85546875" style="1" bestFit="1" customWidth="1"/>
    <col min="18" max="18" width="9.140625" style="32"/>
    <col min="19" max="29" width="9.140625" style="1"/>
    <col min="30" max="30" width="15.7109375" style="1" bestFit="1" customWidth="1"/>
    <col min="31" max="16384" width="9.140625" style="1"/>
  </cols>
  <sheetData>
    <row r="1" spans="1:83" s="10" customFormat="1" ht="12.75" x14ac:dyDescent="0.2">
      <c r="C1" s="10" t="s">
        <v>13</v>
      </c>
      <c r="D1" s="18" t="s">
        <v>14</v>
      </c>
      <c r="E1" s="10" t="s">
        <v>82</v>
      </c>
      <c r="F1" s="18" t="s">
        <v>81</v>
      </c>
      <c r="G1" s="10" t="s">
        <v>15</v>
      </c>
      <c r="H1" s="18" t="s">
        <v>16</v>
      </c>
      <c r="I1" s="10" t="s">
        <v>69</v>
      </c>
      <c r="J1" s="30" t="s">
        <v>70</v>
      </c>
      <c r="M1" s="10" t="s">
        <v>66</v>
      </c>
      <c r="N1" s="10" t="s">
        <v>17</v>
      </c>
      <c r="O1" s="10" t="s">
        <v>18</v>
      </c>
      <c r="P1" s="10" t="s">
        <v>19</v>
      </c>
      <c r="Q1" s="10" t="s">
        <v>20</v>
      </c>
      <c r="R1" s="30" t="s">
        <v>21</v>
      </c>
      <c r="S1" s="10" t="s">
        <v>71</v>
      </c>
      <c r="T1" s="10" t="s">
        <v>83</v>
      </c>
      <c r="U1" s="10" t="s">
        <v>84</v>
      </c>
      <c r="V1" s="10" t="s">
        <v>85</v>
      </c>
      <c r="W1" s="10" t="s">
        <v>86</v>
      </c>
      <c r="X1" s="10" t="s">
        <v>87</v>
      </c>
      <c r="Y1" s="10" t="s">
        <v>88</v>
      </c>
      <c r="Z1" s="10" t="s">
        <v>89</v>
      </c>
      <c r="AA1" s="10" t="s">
        <v>90</v>
      </c>
      <c r="AB1" s="10" t="s">
        <v>91</v>
      </c>
    </row>
    <row r="2" spans="1:83" s="12" customFormat="1" ht="12.75" x14ac:dyDescent="0.2">
      <c r="A2" s="11"/>
      <c r="C2" s="13">
        <v>43465</v>
      </c>
      <c r="D2" s="25">
        <v>43646</v>
      </c>
      <c r="E2" s="13">
        <v>43830</v>
      </c>
      <c r="F2" s="25">
        <v>44012</v>
      </c>
      <c r="G2" s="13">
        <v>44196</v>
      </c>
      <c r="H2" s="25">
        <v>44377</v>
      </c>
      <c r="I2" s="13">
        <v>44561</v>
      </c>
      <c r="J2" s="33" t="s">
        <v>72</v>
      </c>
      <c r="M2" s="13">
        <v>42916</v>
      </c>
      <c r="N2" s="13">
        <v>43281</v>
      </c>
      <c r="O2" s="13">
        <v>43646</v>
      </c>
      <c r="P2" s="13">
        <v>44012</v>
      </c>
      <c r="Q2" s="13">
        <v>44377</v>
      </c>
      <c r="R2" s="33" t="s">
        <v>72</v>
      </c>
      <c r="S2" s="50" t="s">
        <v>72</v>
      </c>
      <c r="T2" s="50" t="s">
        <v>72</v>
      </c>
      <c r="U2" s="50" t="s">
        <v>72</v>
      </c>
      <c r="V2" s="50" t="s">
        <v>72</v>
      </c>
      <c r="W2" s="50" t="s">
        <v>72</v>
      </c>
      <c r="X2" s="50" t="s">
        <v>72</v>
      </c>
      <c r="Y2" s="50" t="s">
        <v>72</v>
      </c>
      <c r="Z2" s="50" t="s">
        <v>72</v>
      </c>
      <c r="AA2" s="50" t="s">
        <v>72</v>
      </c>
      <c r="AB2" s="50" t="s">
        <v>72</v>
      </c>
    </row>
    <row r="3" spans="1:83" s="2" customFormat="1" ht="12.75" x14ac:dyDescent="0.2">
      <c r="B3" s="2" t="s">
        <v>22</v>
      </c>
      <c r="C3" s="2">
        <v>348.2</v>
      </c>
      <c r="D3" s="19">
        <f>O3-C3</f>
        <v>346.90000000000003</v>
      </c>
      <c r="E3" s="2">
        <v>397.4</v>
      </c>
      <c r="F3" s="19">
        <f>P3-E3</f>
        <v>240.70000000000005</v>
      </c>
      <c r="G3" s="2">
        <v>177.6</v>
      </c>
      <c r="H3" s="19">
        <f>Q3-G3</f>
        <v>152.00000000000003</v>
      </c>
      <c r="I3" s="15">
        <v>333.7</v>
      </c>
      <c r="J3" s="31"/>
      <c r="M3" s="2">
        <v>707.2</v>
      </c>
      <c r="N3" s="2">
        <v>691</v>
      </c>
      <c r="O3" s="2">
        <v>695.1</v>
      </c>
      <c r="P3" s="2">
        <v>638.1</v>
      </c>
      <c r="Q3" s="2">
        <v>329.6</v>
      </c>
      <c r="R3" s="42">
        <f>Q3*1.44</f>
        <v>474.62400000000002</v>
      </c>
      <c r="S3" s="15">
        <f>R3*1.1</f>
        <v>522.08640000000003</v>
      </c>
      <c r="T3" s="15">
        <f t="shared" ref="T3" si="0">S3*1.1</f>
        <v>574.29504000000009</v>
      </c>
      <c r="U3" s="15">
        <f>T3*1.05</f>
        <v>603.00979200000006</v>
      </c>
      <c r="V3" s="15">
        <f t="shared" ref="V3:AB3" si="1">U3*1.05</f>
        <v>633.16028160000008</v>
      </c>
      <c r="W3" s="15">
        <f t="shared" si="1"/>
        <v>664.81829568000012</v>
      </c>
      <c r="X3" s="15">
        <f t="shared" si="1"/>
        <v>698.0592104640001</v>
      </c>
      <c r="Y3" s="15">
        <f t="shared" si="1"/>
        <v>732.96217098720012</v>
      </c>
      <c r="Z3" s="15">
        <f t="shared" si="1"/>
        <v>769.61027953656014</v>
      </c>
      <c r="AA3" s="15">
        <f t="shared" si="1"/>
        <v>808.09079351338823</v>
      </c>
      <c r="AB3" s="15">
        <f t="shared" si="1"/>
        <v>848.49533318905765</v>
      </c>
    </row>
    <row r="4" spans="1:83" x14ac:dyDescent="0.25">
      <c r="B4" s="1" t="s">
        <v>23</v>
      </c>
      <c r="C4" s="1">
        <v>192.3</v>
      </c>
      <c r="D4" s="20">
        <f>O4-C4</f>
        <v>185.89999999999998</v>
      </c>
      <c r="E4" s="1">
        <v>210.4</v>
      </c>
      <c r="F4" s="20">
        <f>P4-E4</f>
        <v>155.1</v>
      </c>
      <c r="G4" s="1">
        <v>135</v>
      </c>
      <c r="H4" s="20">
        <f>Q4-G4</f>
        <v>170.39999999999998</v>
      </c>
      <c r="I4" s="16">
        <v>198.4</v>
      </c>
      <c r="M4" s="1">
        <v>391.4</v>
      </c>
      <c r="N4">
        <v>376.6</v>
      </c>
      <c r="O4" s="1">
        <v>378.2</v>
      </c>
      <c r="P4" s="1">
        <v>365.5</v>
      </c>
      <c r="Q4" s="1">
        <v>305.39999999999998</v>
      </c>
      <c r="R4" s="38">
        <f>R3*0.6</f>
        <v>284.77440000000001</v>
      </c>
      <c r="S4" s="16">
        <f>S3-S5</f>
        <v>287.14751999999999</v>
      </c>
      <c r="T4" s="16">
        <f t="shared" ref="T4:U4" si="2">T3-T5</f>
        <v>315.86227200000002</v>
      </c>
      <c r="U4" s="16">
        <f t="shared" si="2"/>
        <v>331.65538560000005</v>
      </c>
      <c r="V4" s="16">
        <f t="shared" ref="V4" si="3">V3-V5</f>
        <v>348.23815488000002</v>
      </c>
      <c r="W4" s="16">
        <f t="shared" ref="W4" si="4">W3-W5</f>
        <v>365.65006262400004</v>
      </c>
      <c r="X4" s="16">
        <f t="shared" ref="X4" si="5">X3-X5</f>
        <v>383.93256575520007</v>
      </c>
      <c r="Y4" s="16">
        <f t="shared" ref="Y4" si="6">Y3-Y5</f>
        <v>403.12919404296008</v>
      </c>
      <c r="Z4" s="16">
        <f t="shared" ref="Z4" si="7">Z3-Z5</f>
        <v>423.28565374510805</v>
      </c>
      <c r="AA4" s="16">
        <f t="shared" ref="AA4" si="8">AA3-AA5</f>
        <v>444.44993643236353</v>
      </c>
      <c r="AB4" s="16">
        <f t="shared" ref="AB4" si="9">AB3-AB5</f>
        <v>466.67243325398169</v>
      </c>
    </row>
    <row r="5" spans="1:83" s="2" customFormat="1" ht="12.75" x14ac:dyDescent="0.2">
      <c r="B5" s="2" t="s">
        <v>24</v>
      </c>
      <c r="C5" s="15">
        <f>C3-C4</f>
        <v>155.89999999999998</v>
      </c>
      <c r="D5" s="20">
        <f>O5-C5</f>
        <v>161.00000000000006</v>
      </c>
      <c r="E5" s="15">
        <f>E3-E4</f>
        <v>186.99999999999997</v>
      </c>
      <c r="F5" s="19">
        <f>F3-F4</f>
        <v>85.600000000000051</v>
      </c>
      <c r="G5" s="15">
        <f>G3-G4</f>
        <v>42.599999999999994</v>
      </c>
      <c r="H5" s="19">
        <f>H3-H4</f>
        <v>-18.399999999999949</v>
      </c>
      <c r="I5" s="15">
        <f>I3-I4</f>
        <v>135.29999999999998</v>
      </c>
      <c r="J5" s="31"/>
      <c r="M5" s="15">
        <f t="shared" ref="M5:R5" si="10">M3-M4</f>
        <v>315.80000000000007</v>
      </c>
      <c r="N5" s="15">
        <f t="shared" si="10"/>
        <v>314.39999999999998</v>
      </c>
      <c r="O5" s="15">
        <f t="shared" si="10"/>
        <v>316.90000000000003</v>
      </c>
      <c r="P5" s="15">
        <f t="shared" si="10"/>
        <v>272.60000000000002</v>
      </c>
      <c r="Q5" s="15">
        <f t="shared" si="10"/>
        <v>24.200000000000045</v>
      </c>
      <c r="R5" s="42">
        <f t="shared" si="10"/>
        <v>189.84960000000001</v>
      </c>
      <c r="S5" s="15">
        <f>S3*0.45</f>
        <v>234.93888000000001</v>
      </c>
      <c r="T5" s="15">
        <f t="shared" ref="T5:U5" si="11">T3*0.45</f>
        <v>258.43276800000007</v>
      </c>
      <c r="U5" s="15">
        <f t="shared" si="11"/>
        <v>271.35440640000002</v>
      </c>
      <c r="V5" s="15">
        <f t="shared" ref="V5:AB5" si="12">V3*0.45</f>
        <v>284.92212672000005</v>
      </c>
      <c r="W5" s="15">
        <f t="shared" si="12"/>
        <v>299.16823305600008</v>
      </c>
      <c r="X5" s="15">
        <f t="shared" si="12"/>
        <v>314.12664470880003</v>
      </c>
      <c r="Y5" s="15">
        <f t="shared" si="12"/>
        <v>329.83297694424004</v>
      </c>
      <c r="Z5" s="15">
        <f t="shared" si="12"/>
        <v>346.32462579145209</v>
      </c>
      <c r="AA5" s="15">
        <f t="shared" si="12"/>
        <v>363.64085708102471</v>
      </c>
      <c r="AB5" s="15">
        <f t="shared" si="12"/>
        <v>381.82289993507595</v>
      </c>
    </row>
    <row r="6" spans="1:83" x14ac:dyDescent="0.25">
      <c r="B6" s="1" t="s">
        <v>25</v>
      </c>
      <c r="C6" s="1">
        <v>130.1</v>
      </c>
      <c r="D6" s="20">
        <f>O6-C6</f>
        <v>147.79999999999998</v>
      </c>
      <c r="E6" s="1">
        <v>130.9</v>
      </c>
      <c r="F6" s="20">
        <f>P6-E6</f>
        <v>147.20000000000002</v>
      </c>
      <c r="G6" s="1">
        <v>124.3</v>
      </c>
      <c r="H6" s="20">
        <f>Q6-G6</f>
        <v>57.2</v>
      </c>
      <c r="I6" s="16">
        <v>123.2</v>
      </c>
      <c r="M6" s="1">
        <v>231.3</v>
      </c>
      <c r="N6">
        <v>264.3</v>
      </c>
      <c r="O6" s="1">
        <v>277.89999999999998</v>
      </c>
      <c r="P6" s="1">
        <v>278.10000000000002</v>
      </c>
      <c r="Q6" s="1">
        <v>181.5</v>
      </c>
      <c r="R6" s="38">
        <f>R3*0.45</f>
        <v>213.58080000000001</v>
      </c>
      <c r="S6" s="49">
        <f>S5*0.75</f>
        <v>176.20416</v>
      </c>
      <c r="T6" s="49">
        <f t="shared" ref="T6:U6" si="13">T5*0.75</f>
        <v>193.82457600000004</v>
      </c>
      <c r="U6" s="49">
        <f t="shared" si="13"/>
        <v>203.51580480000001</v>
      </c>
      <c r="V6" s="49">
        <f t="shared" ref="V6" si="14">V5*0.75</f>
        <v>213.69159504000004</v>
      </c>
      <c r="W6" s="49">
        <f t="shared" ref="W6" si="15">W5*0.75</f>
        <v>224.37617479200006</v>
      </c>
      <c r="X6" s="49">
        <f t="shared" ref="X6" si="16">X5*0.75</f>
        <v>235.59498353160001</v>
      </c>
      <c r="Y6" s="49">
        <f t="shared" ref="Y6" si="17">Y5*0.75</f>
        <v>247.37473270818003</v>
      </c>
      <c r="Z6" s="49">
        <f t="shared" ref="Z6" si="18">Z5*0.75</f>
        <v>259.74346934358908</v>
      </c>
      <c r="AA6" s="49">
        <f t="shared" ref="AA6" si="19">AA5*0.75</f>
        <v>272.73064281076853</v>
      </c>
      <c r="AB6" s="49">
        <f t="shared" ref="AB6" si="20">AB5*0.75</f>
        <v>286.36717495130699</v>
      </c>
    </row>
    <row r="7" spans="1:83" x14ac:dyDescent="0.25">
      <c r="B7" s="1" t="s">
        <v>26</v>
      </c>
      <c r="C7" s="1">
        <v>0</v>
      </c>
      <c r="D7" s="20">
        <f>O7-C7</f>
        <v>0</v>
      </c>
      <c r="E7" s="1">
        <v>0</v>
      </c>
      <c r="F7" s="20">
        <f>P7-E7</f>
        <v>29</v>
      </c>
      <c r="G7" s="1">
        <v>28.8</v>
      </c>
      <c r="H7" s="20">
        <f>Q7-G7</f>
        <v>35.600000000000009</v>
      </c>
      <c r="I7" s="16">
        <v>90.9</v>
      </c>
      <c r="M7" s="1">
        <v>0</v>
      </c>
      <c r="N7">
        <v>0</v>
      </c>
      <c r="O7" s="1">
        <v>0</v>
      </c>
      <c r="P7" s="1">
        <v>29</v>
      </c>
      <c r="Q7" s="1">
        <v>64.400000000000006</v>
      </c>
      <c r="R7" s="34">
        <f>R3*0.2</f>
        <v>94.924800000000005</v>
      </c>
      <c r="S7" s="16">
        <v>0</v>
      </c>
      <c r="T7" s="16">
        <v>1</v>
      </c>
      <c r="U7" s="16">
        <v>2</v>
      </c>
      <c r="V7" s="16">
        <v>3</v>
      </c>
      <c r="W7" s="16">
        <v>4</v>
      </c>
      <c r="X7" s="16">
        <v>5</v>
      </c>
      <c r="Y7" s="16">
        <v>6</v>
      </c>
      <c r="Z7" s="16">
        <v>7</v>
      </c>
      <c r="AA7" s="16">
        <v>8</v>
      </c>
      <c r="AB7" s="16">
        <v>9</v>
      </c>
    </row>
    <row r="8" spans="1:83" s="2" customFormat="1" ht="12.75" x14ac:dyDescent="0.2">
      <c r="B8" s="2" t="s">
        <v>27</v>
      </c>
      <c r="C8" s="15">
        <f t="shared" ref="C8:I8" si="21">C5-C6+C7</f>
        <v>25.799999999999983</v>
      </c>
      <c r="D8" s="19">
        <f t="shared" si="21"/>
        <v>13.200000000000074</v>
      </c>
      <c r="E8" s="15">
        <f t="shared" si="21"/>
        <v>56.099999999999966</v>
      </c>
      <c r="F8" s="19">
        <f t="shared" si="21"/>
        <v>-32.599999999999966</v>
      </c>
      <c r="G8" s="15">
        <f t="shared" si="21"/>
        <v>-52.900000000000006</v>
      </c>
      <c r="H8" s="19">
        <f t="shared" si="21"/>
        <v>-39.999999999999943</v>
      </c>
      <c r="I8" s="15">
        <f t="shared" si="21"/>
        <v>102.99999999999999</v>
      </c>
      <c r="J8" s="31"/>
      <c r="M8" s="15">
        <f t="shared" ref="M8:S8" si="22">M5-M6+M7</f>
        <v>84.500000000000057</v>
      </c>
      <c r="N8" s="15">
        <f t="shared" si="22"/>
        <v>50.099999999999966</v>
      </c>
      <c r="O8" s="15">
        <f t="shared" si="22"/>
        <v>39.000000000000057</v>
      </c>
      <c r="P8" s="15">
        <f t="shared" si="22"/>
        <v>23.5</v>
      </c>
      <c r="Q8" s="15">
        <f t="shared" si="22"/>
        <v>-92.899999999999949</v>
      </c>
      <c r="R8" s="43">
        <f t="shared" si="22"/>
        <v>71.193600000000004</v>
      </c>
      <c r="S8" s="15">
        <f t="shared" si="22"/>
        <v>58.73472000000001</v>
      </c>
      <c r="T8" s="15">
        <f t="shared" ref="T8:U8" si="23">T5-T6+T7</f>
        <v>65.608192000000031</v>
      </c>
      <c r="U8" s="15">
        <f t="shared" si="23"/>
        <v>69.838601600000004</v>
      </c>
      <c r="V8" s="15">
        <f t="shared" ref="V8" si="24">V5-V6+V7</f>
        <v>74.230531680000013</v>
      </c>
      <c r="W8" s="15">
        <f t="shared" ref="W8" si="25">W5-W6+W7</f>
        <v>78.792058264000019</v>
      </c>
      <c r="X8" s="15">
        <f t="shared" ref="X8" si="26">X5-X6+X7</f>
        <v>83.531661177200021</v>
      </c>
      <c r="Y8" s="15">
        <f t="shared" ref="Y8" si="27">Y5-Y6+Y7</f>
        <v>88.458244236060011</v>
      </c>
      <c r="Z8" s="15">
        <f t="shared" ref="Z8" si="28">Z5-Z6+Z7</f>
        <v>93.581156447863009</v>
      </c>
      <c r="AA8" s="15">
        <f t="shared" ref="AA8" si="29">AA5-AA6+AA7</f>
        <v>98.910214270256176</v>
      </c>
      <c r="AB8" s="15">
        <f t="shared" ref="AB8" si="30">AB5-AB6+AB7</f>
        <v>104.45572498376896</v>
      </c>
    </row>
    <row r="9" spans="1:83" x14ac:dyDescent="0.25">
      <c r="B9" s="1" t="s">
        <v>28</v>
      </c>
      <c r="C9" s="1">
        <v>2.6</v>
      </c>
      <c r="D9" s="20">
        <f t="shared" ref="D9:D11" si="31">O9-C9</f>
        <v>1.6999999999999997</v>
      </c>
      <c r="E9" s="1">
        <v>6.9</v>
      </c>
      <c r="F9" s="20">
        <f t="shared" ref="F9:F14" si="32">P9-E9</f>
        <v>6.9</v>
      </c>
      <c r="G9" s="1">
        <v>6.5</v>
      </c>
      <c r="H9" s="20">
        <f>Q9-G9</f>
        <v>7.5</v>
      </c>
      <c r="I9" s="16">
        <v>6.6</v>
      </c>
      <c r="M9" s="1">
        <v>4.4000000000000004</v>
      </c>
      <c r="N9">
        <v>3.3</v>
      </c>
      <c r="O9" s="1">
        <v>4.3</v>
      </c>
      <c r="P9" s="1">
        <v>13.8</v>
      </c>
      <c r="Q9" s="1">
        <v>14</v>
      </c>
      <c r="R9" s="32">
        <v>5</v>
      </c>
      <c r="S9" s="16">
        <f>AVERAGE(O9:R9)</f>
        <v>9.2750000000000004</v>
      </c>
      <c r="T9" s="16">
        <f t="shared" ref="T9:U9" si="33">AVERAGE(P9:S9)</f>
        <v>10.518749999999999</v>
      </c>
      <c r="U9" s="16">
        <f t="shared" si="33"/>
        <v>9.6984374999999989</v>
      </c>
      <c r="V9" s="16">
        <f t="shared" ref="V9:V10" si="34">AVERAGE(R9:U9)</f>
        <v>8.623046875</v>
      </c>
      <c r="W9" s="16">
        <f t="shared" ref="W9:W10" si="35">AVERAGE(S9:V9)</f>
        <v>9.52880859375</v>
      </c>
      <c r="X9" s="16">
        <f t="shared" ref="X9:X10" si="36">AVERAGE(T9:W9)</f>
        <v>9.5922607421874986</v>
      </c>
      <c r="Y9" s="16">
        <f t="shared" ref="Y9:Y10" si="37">AVERAGE(U9:X9)</f>
        <v>9.3606384277343739</v>
      </c>
      <c r="Z9" s="16">
        <f t="shared" ref="Z9:Z10" si="38">AVERAGE(V9:Y9)</f>
        <v>9.2761886596679677</v>
      </c>
      <c r="AA9" s="16">
        <f t="shared" ref="AA9:AA10" si="39">AVERAGE(W9:Z9)</f>
        <v>9.4394741058349592</v>
      </c>
      <c r="AB9" s="16">
        <f t="shared" ref="AB9:AB10" si="40">AVERAGE(X9:AA9)</f>
        <v>9.4171404838561994</v>
      </c>
    </row>
    <row r="10" spans="1:83" x14ac:dyDescent="0.25">
      <c r="B10" s="1" t="s">
        <v>29</v>
      </c>
      <c r="C10" s="1">
        <v>0</v>
      </c>
      <c r="D10" s="20">
        <f t="shared" si="31"/>
        <v>0.1</v>
      </c>
      <c r="E10" s="1">
        <v>0.3</v>
      </c>
      <c r="F10" s="20">
        <f t="shared" si="32"/>
        <v>0.3</v>
      </c>
      <c r="G10" s="1">
        <v>0.1</v>
      </c>
      <c r="H10" s="20">
        <f>Q10-G10</f>
        <v>0</v>
      </c>
      <c r="I10" s="16">
        <v>0</v>
      </c>
      <c r="M10" s="1">
        <v>0.2</v>
      </c>
      <c r="N10">
        <v>0.3</v>
      </c>
      <c r="O10" s="1">
        <v>0.1</v>
      </c>
      <c r="P10" s="1">
        <v>0.6</v>
      </c>
      <c r="Q10" s="1">
        <v>0.1</v>
      </c>
      <c r="R10" s="32">
        <v>0.2</v>
      </c>
      <c r="S10" s="16">
        <f>AVERAGE(O10:R10)</f>
        <v>0.25</v>
      </c>
      <c r="T10" s="16">
        <f t="shared" ref="T10:U10" si="41">AVERAGE(P10:S10)</f>
        <v>0.28749999999999998</v>
      </c>
      <c r="U10" s="16">
        <f t="shared" si="41"/>
        <v>0.20937500000000001</v>
      </c>
      <c r="V10" s="16">
        <f t="shared" si="34"/>
        <v>0.23671875000000001</v>
      </c>
      <c r="W10" s="16">
        <f t="shared" si="35"/>
        <v>0.24589843749999998</v>
      </c>
      <c r="X10" s="16">
        <f t="shared" si="36"/>
        <v>0.24487304687499997</v>
      </c>
      <c r="Y10" s="16">
        <f t="shared" si="37"/>
        <v>0.23421630859375001</v>
      </c>
      <c r="Z10" s="16">
        <f t="shared" si="38"/>
        <v>0.24042663574218748</v>
      </c>
      <c r="AA10" s="16">
        <f t="shared" si="39"/>
        <v>0.24135360717773435</v>
      </c>
      <c r="AB10" s="16">
        <f t="shared" si="40"/>
        <v>0.24021739959716795</v>
      </c>
    </row>
    <row r="11" spans="1:83" x14ac:dyDescent="0.25">
      <c r="B11" s="1" t="s">
        <v>30</v>
      </c>
      <c r="C11" s="1">
        <v>-0.4</v>
      </c>
      <c r="D11" s="20">
        <f t="shared" si="31"/>
        <v>0.30000000000000004</v>
      </c>
      <c r="E11" s="1">
        <v>-0.2</v>
      </c>
      <c r="F11" s="20">
        <f t="shared" si="32"/>
        <v>5.3</v>
      </c>
      <c r="G11" s="1">
        <v>-0.1</v>
      </c>
      <c r="H11" s="20">
        <f>Q11-G11</f>
        <v>-0.4</v>
      </c>
      <c r="I11" s="16">
        <v>5.7</v>
      </c>
      <c r="M11" s="1">
        <v>-0.6</v>
      </c>
      <c r="N11">
        <v>-0.4</v>
      </c>
      <c r="O11" s="1">
        <v>-0.1</v>
      </c>
      <c r="P11" s="1">
        <v>5.0999999999999996</v>
      </c>
      <c r="Q11" s="1">
        <v>-0.5</v>
      </c>
      <c r="R11" s="32">
        <v>0</v>
      </c>
      <c r="S11" s="16">
        <v>0</v>
      </c>
      <c r="T11" s="16">
        <v>1</v>
      </c>
      <c r="U11" s="16">
        <v>2</v>
      </c>
      <c r="V11" s="16">
        <v>3</v>
      </c>
      <c r="W11" s="16">
        <v>4</v>
      </c>
      <c r="X11" s="16">
        <v>5</v>
      </c>
      <c r="Y11" s="16">
        <v>6</v>
      </c>
      <c r="Z11" s="16">
        <v>7</v>
      </c>
      <c r="AA11" s="16">
        <v>8</v>
      </c>
      <c r="AB11" s="16">
        <v>9</v>
      </c>
    </row>
    <row r="12" spans="1:83" ht="12.75" x14ac:dyDescent="0.2">
      <c r="B12" s="1" t="s">
        <v>31</v>
      </c>
      <c r="C12" s="16">
        <f>C8-C9+C11</f>
        <v>22.799999999999983</v>
      </c>
      <c r="D12" s="20">
        <f>D8-D9+D10+D11</f>
        <v>11.900000000000075</v>
      </c>
      <c r="E12" s="16">
        <f>E8-E9+E11</f>
        <v>48.999999999999964</v>
      </c>
      <c r="F12" s="20">
        <f>F8-F9+F10+F11</f>
        <v>-33.89999999999997</v>
      </c>
      <c r="G12" s="16">
        <f>G8-G9+G11</f>
        <v>-59.500000000000007</v>
      </c>
      <c r="H12" s="20">
        <f>H8-H9+H10+H11</f>
        <v>-47.899999999999942</v>
      </c>
      <c r="I12" s="16">
        <f>I8-I9+I11</f>
        <v>102.1</v>
      </c>
      <c r="M12" s="16">
        <f t="shared" ref="M12:S12" si="42">M8-M9+M10+M11</f>
        <v>79.70000000000006</v>
      </c>
      <c r="N12" s="16">
        <f t="shared" si="42"/>
        <v>46.699999999999967</v>
      </c>
      <c r="O12" s="16">
        <f t="shared" si="42"/>
        <v>34.70000000000006</v>
      </c>
      <c r="P12" s="16">
        <f t="shared" si="42"/>
        <v>15.399999999999999</v>
      </c>
      <c r="Q12" s="16">
        <f t="shared" si="42"/>
        <v>-107.29999999999995</v>
      </c>
      <c r="R12" s="44">
        <f t="shared" si="42"/>
        <v>66.393600000000006</v>
      </c>
      <c r="S12" s="16">
        <f t="shared" si="42"/>
        <v>49.709720000000011</v>
      </c>
      <c r="T12" s="16">
        <f t="shared" ref="T12:U12" si="43">T8-T9+T10+T11</f>
        <v>56.376942000000035</v>
      </c>
      <c r="U12" s="16">
        <f t="shared" si="43"/>
        <v>62.349539100000008</v>
      </c>
      <c r="V12" s="16">
        <f t="shared" ref="V12" si="44">V8-V9+V10+V11</f>
        <v>68.844203555000007</v>
      </c>
      <c r="W12" s="16">
        <f t="shared" ref="W12" si="45">W8-W9+W10+W11</f>
        <v>73.509148107750022</v>
      </c>
      <c r="X12" s="16">
        <f t="shared" ref="X12" si="46">X8-X9+X10+X11</f>
        <v>79.184273481887516</v>
      </c>
      <c r="Y12" s="16">
        <f t="shared" ref="Y12" si="47">Y8-Y9+Y10+Y11</f>
        <v>85.331822116919383</v>
      </c>
      <c r="Z12" s="16">
        <f t="shared" ref="Z12" si="48">Z8-Z9+Z10+Z11</f>
        <v>91.545394423937225</v>
      </c>
      <c r="AA12" s="16">
        <f t="shared" ref="AA12" si="49">AA8-AA9+AA10+AA11</f>
        <v>97.712093771598944</v>
      </c>
      <c r="AB12" s="16">
        <f t="shared" ref="AB12" si="50">AB8-AB9+AB10+AB11</f>
        <v>104.27880189950993</v>
      </c>
    </row>
    <row r="13" spans="1:83" x14ac:dyDescent="0.25">
      <c r="B13" s="1" t="s">
        <v>32</v>
      </c>
      <c r="C13" s="1">
        <v>4.0999999999999996</v>
      </c>
      <c r="D13" s="20">
        <f t="shared" ref="D13:D14" si="51">O13-C13</f>
        <v>2.9000000000000004</v>
      </c>
      <c r="E13" s="1">
        <v>9.5</v>
      </c>
      <c r="F13" s="20">
        <f t="shared" si="32"/>
        <v>-3.5</v>
      </c>
      <c r="G13" s="1">
        <v>-9.8000000000000007</v>
      </c>
      <c r="H13" s="20">
        <f>Q13-G13</f>
        <v>-0.59999999999999964</v>
      </c>
      <c r="I13" s="16">
        <v>20.6</v>
      </c>
      <c r="M13" s="1">
        <v>16.8</v>
      </c>
      <c r="N13">
        <v>10.8</v>
      </c>
      <c r="O13" s="1">
        <v>7</v>
      </c>
      <c r="P13" s="1">
        <v>6</v>
      </c>
      <c r="Q13" s="1">
        <v>-10.4</v>
      </c>
      <c r="R13" s="38">
        <f>R3*0.01</f>
        <v>4.7462400000000002</v>
      </c>
      <c r="S13" s="51">
        <f>S3*0.01</f>
        <v>5.2208640000000006</v>
      </c>
      <c r="T13" s="51">
        <f t="shared" ref="T13:U13" si="52">T3*0.01</f>
        <v>5.7429504000000007</v>
      </c>
      <c r="U13" s="51">
        <f t="shared" si="52"/>
        <v>6.0300979200000011</v>
      </c>
      <c r="V13" s="51">
        <f t="shared" ref="V13:AB13" si="53">V3*0.01</f>
        <v>6.3316028160000011</v>
      </c>
      <c r="W13" s="51">
        <f t="shared" si="53"/>
        <v>6.6481829568000013</v>
      </c>
      <c r="X13" s="51">
        <f t="shared" si="53"/>
        <v>6.9805921046400012</v>
      </c>
      <c r="Y13" s="51">
        <f t="shared" si="53"/>
        <v>7.3296217098720016</v>
      </c>
      <c r="Z13" s="51">
        <f t="shared" si="53"/>
        <v>7.6961027953656016</v>
      </c>
      <c r="AA13" s="51">
        <f t="shared" si="53"/>
        <v>8.0809079351338831</v>
      </c>
      <c r="AB13" s="51">
        <f t="shared" si="53"/>
        <v>8.4849533318905763</v>
      </c>
    </row>
    <row r="14" spans="1:83" ht="12.75" x14ac:dyDescent="0.2">
      <c r="B14" s="1" t="s">
        <v>33</v>
      </c>
      <c r="C14" s="1">
        <v>0</v>
      </c>
      <c r="D14" s="20">
        <f t="shared" si="51"/>
        <v>1.5</v>
      </c>
      <c r="E14" s="1">
        <v>0</v>
      </c>
      <c r="F14" s="20">
        <f t="shared" si="32"/>
        <v>0</v>
      </c>
      <c r="G14" s="1">
        <v>1</v>
      </c>
      <c r="H14" s="20">
        <f>Q14-G14</f>
        <v>23.9</v>
      </c>
      <c r="I14" s="16">
        <v>3.1</v>
      </c>
      <c r="M14" s="1">
        <v>0</v>
      </c>
      <c r="N14" s="1">
        <v>0</v>
      </c>
      <c r="O14" s="1">
        <v>1.5</v>
      </c>
      <c r="P14" s="1">
        <v>0</v>
      </c>
      <c r="Q14" s="16">
        <v>24.9</v>
      </c>
      <c r="R14" s="32">
        <v>0</v>
      </c>
      <c r="S14" s="16">
        <v>0</v>
      </c>
      <c r="T14" s="16">
        <v>1</v>
      </c>
      <c r="U14" s="16">
        <v>2</v>
      </c>
      <c r="V14" s="16">
        <v>3</v>
      </c>
      <c r="W14" s="16">
        <v>4</v>
      </c>
      <c r="X14" s="16">
        <v>5</v>
      </c>
      <c r="Y14" s="16">
        <v>6</v>
      </c>
      <c r="Z14" s="16">
        <v>7</v>
      </c>
      <c r="AA14" s="16">
        <v>8</v>
      </c>
      <c r="AB14" s="16">
        <v>9</v>
      </c>
    </row>
    <row r="15" spans="1:83" s="2" customFormat="1" ht="12.75" x14ac:dyDescent="0.2">
      <c r="B15" s="2" t="s">
        <v>34</v>
      </c>
      <c r="C15" s="15">
        <f t="shared" ref="C15:I15" si="54">C12-C13+C14</f>
        <v>18.699999999999982</v>
      </c>
      <c r="D15" s="19">
        <f t="shared" si="54"/>
        <v>10.500000000000075</v>
      </c>
      <c r="E15" s="15">
        <f t="shared" si="54"/>
        <v>39.499999999999964</v>
      </c>
      <c r="F15" s="19">
        <f t="shared" si="54"/>
        <v>-30.39999999999997</v>
      </c>
      <c r="G15" s="15">
        <f t="shared" si="54"/>
        <v>-48.7</v>
      </c>
      <c r="H15" s="19">
        <f t="shared" si="54"/>
        <v>-23.399999999999942</v>
      </c>
      <c r="I15" s="15">
        <f t="shared" si="54"/>
        <v>84.6</v>
      </c>
      <c r="J15" s="31"/>
      <c r="M15" s="15">
        <f t="shared" ref="M15:S15" si="55">M12-M13+M14</f>
        <v>62.900000000000063</v>
      </c>
      <c r="N15" s="15">
        <f t="shared" si="55"/>
        <v>35.899999999999963</v>
      </c>
      <c r="O15" s="15">
        <f t="shared" si="55"/>
        <v>29.20000000000006</v>
      </c>
      <c r="P15" s="15">
        <f t="shared" si="55"/>
        <v>9.3999999999999986</v>
      </c>
      <c r="Q15" s="15">
        <f t="shared" si="55"/>
        <v>-71.999999999999943</v>
      </c>
      <c r="R15" s="43">
        <f t="shared" si="55"/>
        <v>61.647360000000006</v>
      </c>
      <c r="S15" s="15">
        <f t="shared" si="55"/>
        <v>44.488856000000013</v>
      </c>
      <c r="T15" s="15">
        <f t="shared" ref="T15:U15" si="56">T12-T13+T14</f>
        <v>51.633991600000037</v>
      </c>
      <c r="U15" s="15">
        <f t="shared" si="56"/>
        <v>58.319441180000005</v>
      </c>
      <c r="V15" s="15">
        <f t="shared" ref="V15" si="57">V12-V13+V14</f>
        <v>65.512600739000007</v>
      </c>
      <c r="W15" s="15">
        <f t="shared" ref="W15" si="58">W12-W13+W14</f>
        <v>70.860965150950022</v>
      </c>
      <c r="X15" s="15">
        <f t="shared" ref="X15" si="59">X12-X13+X14</f>
        <v>77.20368137724752</v>
      </c>
      <c r="Y15" s="15">
        <f t="shared" ref="Y15" si="60">Y12-Y13+Y14</f>
        <v>84.002200407047383</v>
      </c>
      <c r="Z15" s="15">
        <f t="shared" ref="Z15" si="61">Z12-Z13+Z14</f>
        <v>90.849291628571621</v>
      </c>
      <c r="AA15" s="15">
        <f t="shared" ref="AA15" si="62">AA12-AA13+AA14</f>
        <v>97.631185836465065</v>
      </c>
      <c r="AB15" s="15">
        <f t="shared" ref="AB15" si="63">AB12-AB13+AB14</f>
        <v>104.79384856761935</v>
      </c>
      <c r="AC15" s="15">
        <f>AB15*(1+$AE$26)</f>
        <v>98.506217653562189</v>
      </c>
      <c r="AD15" s="15">
        <f t="shared" ref="AD15:CE15" si="64">AC15*(1+$AE$26)</f>
        <v>92.595844594348449</v>
      </c>
      <c r="AE15" s="15">
        <f t="shared" si="64"/>
        <v>87.040093918687532</v>
      </c>
      <c r="AF15" s="15">
        <f t="shared" si="64"/>
        <v>81.81768828356627</v>
      </c>
      <c r="AG15" s="15">
        <f t="shared" si="64"/>
        <v>76.908626986552292</v>
      </c>
      <c r="AH15" s="15">
        <f t="shared" si="64"/>
        <v>72.294109367359155</v>
      </c>
      <c r="AI15" s="15">
        <f t="shared" si="64"/>
        <v>67.956462805317599</v>
      </c>
      <c r="AJ15" s="15">
        <f t="shared" si="64"/>
        <v>63.879075036998543</v>
      </c>
      <c r="AK15" s="15">
        <f t="shared" si="64"/>
        <v>60.046330534778626</v>
      </c>
      <c r="AL15" s="15">
        <f t="shared" si="64"/>
        <v>56.443550702691908</v>
      </c>
      <c r="AM15" s="15">
        <f t="shared" si="64"/>
        <v>53.056937660530387</v>
      </c>
      <c r="AN15" s="15">
        <f t="shared" si="64"/>
        <v>49.873521400898561</v>
      </c>
      <c r="AO15" s="15">
        <f t="shared" si="64"/>
        <v>46.881110116844646</v>
      </c>
      <c r="AP15" s="15">
        <f t="shared" si="64"/>
        <v>44.068243509833962</v>
      </c>
      <c r="AQ15" s="15">
        <f t="shared" si="64"/>
        <v>41.424148899243924</v>
      </c>
      <c r="AR15" s="15">
        <f t="shared" si="64"/>
        <v>38.938699965289288</v>
      </c>
      <c r="AS15" s="15">
        <f t="shared" si="64"/>
        <v>36.602377967371929</v>
      </c>
      <c r="AT15" s="15">
        <f t="shared" si="64"/>
        <v>34.406235289329608</v>
      </c>
      <c r="AU15" s="15">
        <f t="shared" si="64"/>
        <v>32.341861171969832</v>
      </c>
      <c r="AV15" s="15">
        <f t="shared" si="64"/>
        <v>30.401349501651641</v>
      </c>
      <c r="AW15" s="15">
        <f t="shared" si="64"/>
        <v>28.577268531552541</v>
      </c>
      <c r="AX15" s="15">
        <f t="shared" si="64"/>
        <v>26.862632419659388</v>
      </c>
      <c r="AY15" s="15">
        <f t="shared" si="64"/>
        <v>25.250874474479822</v>
      </c>
      <c r="AZ15" s="15">
        <f t="shared" si="64"/>
        <v>23.735822006011031</v>
      </c>
      <c r="BA15" s="15">
        <f t="shared" si="64"/>
        <v>22.311672685650368</v>
      </c>
      <c r="BB15" s="15">
        <f t="shared" si="64"/>
        <v>20.972972324511346</v>
      </c>
      <c r="BC15" s="15">
        <f t="shared" si="64"/>
        <v>19.714593985040665</v>
      </c>
      <c r="BD15" s="15">
        <f t="shared" si="64"/>
        <v>18.531718345938224</v>
      </c>
      <c r="BE15" s="15">
        <f t="shared" si="64"/>
        <v>17.41981524518193</v>
      </c>
      <c r="BF15" s="15">
        <f t="shared" si="64"/>
        <v>16.374626330471013</v>
      </c>
      <c r="BG15" s="15">
        <f t="shared" si="64"/>
        <v>15.392148750642752</v>
      </c>
      <c r="BH15" s="15">
        <f t="shared" si="64"/>
        <v>14.468619825604186</v>
      </c>
      <c r="BI15" s="15">
        <f t="shared" si="64"/>
        <v>13.600502636067935</v>
      </c>
      <c r="BJ15" s="15">
        <f t="shared" si="64"/>
        <v>12.784472477903858</v>
      </c>
      <c r="BK15" s="15">
        <f t="shared" si="64"/>
        <v>12.017404129229625</v>
      </c>
      <c r="BL15" s="15">
        <f t="shared" si="64"/>
        <v>11.296359881475848</v>
      </c>
      <c r="BM15" s="15">
        <f t="shared" si="64"/>
        <v>10.618578288587296</v>
      </c>
      <c r="BN15" s="15">
        <f t="shared" si="64"/>
        <v>9.9814635912720568</v>
      </c>
      <c r="BO15" s="15">
        <f t="shared" si="64"/>
        <v>9.3825757757957327</v>
      </c>
      <c r="BP15" s="15">
        <f t="shared" si="64"/>
        <v>8.8196212292479874</v>
      </c>
      <c r="BQ15" s="15">
        <f t="shared" si="64"/>
        <v>8.2904439554931084</v>
      </c>
      <c r="BR15" s="15">
        <f t="shared" si="64"/>
        <v>7.7930173181635212</v>
      </c>
      <c r="BS15" s="15">
        <f t="shared" si="64"/>
        <v>7.3254362790737098</v>
      </c>
      <c r="BT15" s="15">
        <f t="shared" si="64"/>
        <v>6.8859101023292864</v>
      </c>
      <c r="BU15" s="15">
        <f t="shared" si="64"/>
        <v>6.4727554961895288</v>
      </c>
      <c r="BV15" s="15">
        <f t="shared" si="64"/>
        <v>6.0843901664181566</v>
      </c>
      <c r="BW15" s="15">
        <f t="shared" si="64"/>
        <v>5.719326756433067</v>
      </c>
      <c r="BX15" s="15">
        <f t="shared" si="64"/>
        <v>5.376167151047083</v>
      </c>
      <c r="BY15" s="15">
        <f t="shared" si="64"/>
        <v>5.0535971219842581</v>
      </c>
      <c r="BZ15" s="15">
        <f t="shared" si="64"/>
        <v>4.7503812946652024</v>
      </c>
      <c r="CA15" s="15">
        <f t="shared" si="64"/>
        <v>4.46535841698529</v>
      </c>
      <c r="CB15" s="15">
        <f t="shared" si="64"/>
        <v>4.1974369119661725</v>
      </c>
      <c r="CC15" s="15">
        <f t="shared" si="64"/>
        <v>3.945590697248202</v>
      </c>
      <c r="CD15" s="15">
        <f t="shared" si="64"/>
        <v>3.7088552554133098</v>
      </c>
      <c r="CE15" s="15">
        <f t="shared" si="64"/>
        <v>3.4863239400885111</v>
      </c>
    </row>
    <row r="16" spans="1:83" ht="12.75" x14ac:dyDescent="0.2">
      <c r="B16" s="1" t="s">
        <v>35</v>
      </c>
      <c r="C16" s="40">
        <f t="shared" ref="C16:I16" si="65">C15/C17</f>
        <v>4.7862810340414591E-2</v>
      </c>
      <c r="D16" s="23">
        <f t="shared" si="65"/>
        <v>2.6874840030714296E-2</v>
      </c>
      <c r="E16" s="40">
        <f t="shared" si="65"/>
        <v>0.10110058868697201</v>
      </c>
      <c r="F16" s="23">
        <f t="shared" si="65"/>
        <v>-7.7809060660353133E-2</v>
      </c>
      <c r="G16" s="14">
        <f t="shared" si="65"/>
        <v>-0.11974428325547087</v>
      </c>
      <c r="H16" s="23">
        <f t="shared" si="65"/>
        <v>-5.3510176080493806E-2</v>
      </c>
      <c r="I16" s="14">
        <f t="shared" si="65"/>
        <v>0.18061485909479078</v>
      </c>
      <c r="M16" s="14">
        <f t="shared" ref="M16:S16" si="66">M15/M17</f>
        <v>0.16099308932684941</v>
      </c>
      <c r="N16" s="14">
        <f t="shared" si="66"/>
        <v>9.1886357819298603E-2</v>
      </c>
      <c r="O16" s="14">
        <f t="shared" si="66"/>
        <v>7.4737650371128894E-2</v>
      </c>
      <c r="P16" s="14">
        <f t="shared" si="66"/>
        <v>2.4059380598925005E-2</v>
      </c>
      <c r="Q16" s="14">
        <f t="shared" si="66"/>
        <v>-0.16464669563228893</v>
      </c>
      <c r="R16" s="45">
        <f t="shared" si="66"/>
        <v>0.140972696089641</v>
      </c>
      <c r="S16" s="14">
        <f t="shared" si="66"/>
        <v>0.10173532128973248</v>
      </c>
      <c r="T16" s="14">
        <f t="shared" ref="T16:U16" si="67">T15/T17</f>
        <v>0.11807452915618577</v>
      </c>
      <c r="U16" s="14">
        <f t="shared" si="67"/>
        <v>0.13336254557512006</v>
      </c>
      <c r="V16" s="14">
        <f t="shared" ref="V16" si="68">V15/V17</f>
        <v>0.14981157269380288</v>
      </c>
      <c r="W16" s="14">
        <f t="shared" ref="W16" si="69">W15/W17</f>
        <v>0.16204199668637095</v>
      </c>
      <c r="X16" s="14">
        <f t="shared" ref="X16" si="70">X15/X17</f>
        <v>0.17654626429738743</v>
      </c>
      <c r="Y16" s="14">
        <f t="shared" ref="Y16" si="71">Y15/Y17</f>
        <v>0.19209284337307886</v>
      </c>
      <c r="Z16" s="14">
        <f t="shared" ref="Z16" si="72">Z15/Z17</f>
        <v>0.20775049537747911</v>
      </c>
      <c r="AA16" s="14">
        <f t="shared" ref="AA16" si="73">AA15/AA17</f>
        <v>0.22325905748105435</v>
      </c>
      <c r="AB16" s="14">
        <f t="shared" ref="AB16" si="74">AB15/AB17</f>
        <v>0.23963834568401404</v>
      </c>
    </row>
    <row r="17" spans="1:31" ht="12.75" x14ac:dyDescent="0.2">
      <c r="B17" s="1" t="s">
        <v>4</v>
      </c>
      <c r="C17" s="1">
        <v>390.7</v>
      </c>
      <c r="D17" s="20">
        <f>O17</f>
        <v>390.7</v>
      </c>
      <c r="E17" s="1">
        <v>390.7</v>
      </c>
      <c r="F17" s="20">
        <f>P17</f>
        <v>390.7</v>
      </c>
      <c r="G17" s="1">
        <v>406.7</v>
      </c>
      <c r="H17" s="20">
        <f>Q17</f>
        <v>437.3</v>
      </c>
      <c r="I17" s="16">
        <v>468.4</v>
      </c>
      <c r="M17" s="1">
        <v>390.7</v>
      </c>
      <c r="N17" s="1">
        <v>390.7</v>
      </c>
      <c r="O17" s="1">
        <v>390.7</v>
      </c>
      <c r="P17" s="1">
        <v>390.7</v>
      </c>
      <c r="Q17" s="1">
        <v>437.3</v>
      </c>
      <c r="R17" s="38">
        <f>Q17</f>
        <v>437.3</v>
      </c>
      <c r="S17" s="48">
        <f>R17</f>
        <v>437.3</v>
      </c>
      <c r="T17" s="48">
        <f t="shared" ref="T17:U17" si="75">S17</f>
        <v>437.3</v>
      </c>
      <c r="U17" s="48">
        <f t="shared" si="75"/>
        <v>437.3</v>
      </c>
      <c r="V17" s="48">
        <f t="shared" ref="V17:AB17" si="76">U17</f>
        <v>437.3</v>
      </c>
      <c r="W17" s="48">
        <f t="shared" si="76"/>
        <v>437.3</v>
      </c>
      <c r="X17" s="48">
        <f t="shared" si="76"/>
        <v>437.3</v>
      </c>
      <c r="Y17" s="48">
        <f t="shared" si="76"/>
        <v>437.3</v>
      </c>
      <c r="Z17" s="48">
        <f t="shared" si="76"/>
        <v>437.3</v>
      </c>
      <c r="AA17" s="48">
        <f t="shared" si="76"/>
        <v>437.3</v>
      </c>
      <c r="AB17" s="48">
        <f t="shared" si="76"/>
        <v>437.3</v>
      </c>
    </row>
    <row r="18" spans="1:31" x14ac:dyDescent="0.25">
      <c r="A18" s="2"/>
    </row>
    <row r="19" spans="1:31" ht="12.75" x14ac:dyDescent="0.2">
      <c r="A19" s="2"/>
      <c r="B19" s="1" t="s">
        <v>36</v>
      </c>
      <c r="C19" s="17">
        <f t="shared" ref="C19:I19" si="77">C5/C3</f>
        <v>0.44773118897185521</v>
      </c>
      <c r="D19" s="24">
        <f t="shared" si="77"/>
        <v>0.46411069472470462</v>
      </c>
      <c r="E19" s="17">
        <f t="shared" si="77"/>
        <v>0.470558631102164</v>
      </c>
      <c r="F19" s="24">
        <f t="shared" si="77"/>
        <v>0.35562941420855854</v>
      </c>
      <c r="G19" s="17">
        <f t="shared" si="77"/>
        <v>0.23986486486486483</v>
      </c>
      <c r="H19" s="24">
        <f t="shared" si="77"/>
        <v>-0.12105263157894701</v>
      </c>
      <c r="I19" s="17">
        <f t="shared" si="77"/>
        <v>0.40545400059934067</v>
      </c>
      <c r="M19" s="17">
        <f t="shared" ref="M19:S19" si="78">M5/M3</f>
        <v>0.44654977375565619</v>
      </c>
      <c r="N19" s="17">
        <f t="shared" si="78"/>
        <v>0.45499276410998551</v>
      </c>
      <c r="O19" s="17">
        <f t="shared" si="78"/>
        <v>0.45590562508991517</v>
      </c>
      <c r="P19" s="17">
        <f t="shared" si="78"/>
        <v>0.42720576712114089</v>
      </c>
      <c r="Q19" s="17">
        <f t="shared" si="78"/>
        <v>7.3422330097087513E-2</v>
      </c>
      <c r="R19" s="35">
        <f t="shared" si="78"/>
        <v>0.4</v>
      </c>
      <c r="S19" s="17">
        <f t="shared" si="78"/>
        <v>0.45</v>
      </c>
      <c r="T19" s="17">
        <f t="shared" ref="T19:U19" si="79">T5/T3</f>
        <v>0.45000000000000007</v>
      </c>
      <c r="U19" s="17">
        <f t="shared" si="79"/>
        <v>0.44999999999999996</v>
      </c>
      <c r="V19" s="17">
        <f t="shared" ref="V19:AB19" si="80">V5/V3</f>
        <v>0.45</v>
      </c>
      <c r="W19" s="17">
        <f t="shared" si="80"/>
        <v>0.45</v>
      </c>
      <c r="X19" s="17">
        <f t="shared" si="80"/>
        <v>0.44999999999999996</v>
      </c>
      <c r="Y19" s="17">
        <f t="shared" si="80"/>
        <v>0.45</v>
      </c>
      <c r="Z19" s="17">
        <f t="shared" si="80"/>
        <v>0.45</v>
      </c>
      <c r="AA19" s="17">
        <f t="shared" si="80"/>
        <v>0.45</v>
      </c>
      <c r="AB19" s="17">
        <f t="shared" si="80"/>
        <v>0.45</v>
      </c>
    </row>
    <row r="20" spans="1:31" ht="12.75" x14ac:dyDescent="0.2">
      <c r="B20" s="1" t="s">
        <v>37</v>
      </c>
      <c r="C20" s="17">
        <f t="shared" ref="C20:I20" si="81">C8/C3</f>
        <v>7.4095347501435913E-2</v>
      </c>
      <c r="D20" s="24">
        <f t="shared" si="81"/>
        <v>3.805131161718095E-2</v>
      </c>
      <c r="E20" s="17">
        <f t="shared" si="81"/>
        <v>0.14116758933064913</v>
      </c>
      <c r="F20" s="24">
        <f t="shared" si="81"/>
        <v>-0.13543830494391343</v>
      </c>
      <c r="G20" s="17">
        <f t="shared" si="81"/>
        <v>-0.2978603603603604</v>
      </c>
      <c r="H20" s="24">
        <f t="shared" si="81"/>
        <v>-0.2631578947368417</v>
      </c>
      <c r="I20" s="17">
        <f t="shared" si="81"/>
        <v>0.30866047347917286</v>
      </c>
      <c r="M20" s="17">
        <f t="shared" ref="M20:S20" si="82">M8/M3</f>
        <v>0.11948529411764713</v>
      </c>
      <c r="N20" s="17">
        <f t="shared" si="82"/>
        <v>7.250361794500719E-2</v>
      </c>
      <c r="O20" s="17">
        <f t="shared" si="82"/>
        <v>5.6107034958998783E-2</v>
      </c>
      <c r="P20" s="17">
        <f t="shared" si="82"/>
        <v>3.6828083372512144E-2</v>
      </c>
      <c r="Q20" s="17">
        <f t="shared" si="82"/>
        <v>-0.28185679611650466</v>
      </c>
      <c r="R20" s="46">
        <f t="shared" si="82"/>
        <v>0.15</v>
      </c>
      <c r="S20" s="17">
        <f t="shared" si="82"/>
        <v>0.11250000000000002</v>
      </c>
      <c r="T20" s="17">
        <f t="shared" ref="T20:U20" si="83">T8/T3</f>
        <v>0.11424126525626971</v>
      </c>
      <c r="U20" s="17">
        <f t="shared" si="83"/>
        <v>0.11581669572622794</v>
      </c>
      <c r="V20" s="17">
        <f t="shared" ref="V20:AB20" si="84">V8/V3</f>
        <v>0.11723813675175421</v>
      </c>
      <c r="W20" s="17">
        <f t="shared" si="84"/>
        <v>0.11851668158952915</v>
      </c>
      <c r="X20" s="17">
        <f t="shared" si="84"/>
        <v>0.1196627161780109</v>
      </c>
      <c r="Y20" s="17">
        <f t="shared" si="84"/>
        <v>0.12068596134629815</v>
      </c>
      <c r="Z20" s="17">
        <f t="shared" si="84"/>
        <v>0.12159551260699794</v>
      </c>
      <c r="AA20" s="17">
        <f t="shared" si="84"/>
        <v>0.12239987766748076</v>
      </c>
      <c r="AB20" s="17">
        <f t="shared" si="84"/>
        <v>0.12310701178658651</v>
      </c>
    </row>
    <row r="21" spans="1:31" ht="12.75" x14ac:dyDescent="0.2">
      <c r="B21" s="1" t="s">
        <v>38</v>
      </c>
      <c r="C21" s="17">
        <f t="shared" ref="C21:I21" si="85">C15/C3</f>
        <v>5.3704767375071745E-2</v>
      </c>
      <c r="D21" s="24">
        <f t="shared" si="85"/>
        <v>3.0268088786393987E-2</v>
      </c>
      <c r="E21" s="17">
        <f t="shared" si="85"/>
        <v>9.9396074484146876E-2</v>
      </c>
      <c r="F21" s="24">
        <f t="shared" si="85"/>
        <v>-0.12629829663481498</v>
      </c>
      <c r="G21" s="17">
        <f t="shared" si="85"/>
        <v>-0.27421171171171171</v>
      </c>
      <c r="H21" s="24">
        <f t="shared" si="85"/>
        <v>-0.15394736842105222</v>
      </c>
      <c r="I21" s="17">
        <f t="shared" si="85"/>
        <v>0.25352112676056338</v>
      </c>
      <c r="M21" s="17">
        <f t="shared" ref="M21:S21" si="86">M15/M3</f>
        <v>8.8942307692307779E-2</v>
      </c>
      <c r="N21" s="17">
        <f t="shared" si="86"/>
        <v>5.1953690303907327E-2</v>
      </c>
      <c r="O21" s="17">
        <f t="shared" si="86"/>
        <v>4.2008344123147835E-2</v>
      </c>
      <c r="P21" s="17">
        <f t="shared" si="86"/>
        <v>1.4731233349004856E-2</v>
      </c>
      <c r="Q21" s="17">
        <f t="shared" si="86"/>
        <v>-0.21844660194174739</v>
      </c>
      <c r="R21" s="46">
        <f t="shared" si="86"/>
        <v>0.12988673139158577</v>
      </c>
      <c r="S21" s="17">
        <f t="shared" si="86"/>
        <v>8.5213589168382883E-2</v>
      </c>
      <c r="T21" s="17">
        <f t="shared" ref="T21:U21" si="87">T15/T3</f>
        <v>8.9908475615600003E-2</v>
      </c>
      <c r="U21" s="17">
        <f t="shared" si="87"/>
        <v>9.6713920658853911E-2</v>
      </c>
      <c r="V21" s="17">
        <f t="shared" ref="V21:AB21" si="88">V15/V3</f>
        <v>0.10346922042148514</v>
      </c>
      <c r="W21" s="17">
        <f t="shared" si="88"/>
        <v>0.10658696610999682</v>
      </c>
      <c r="X21" s="17">
        <f t="shared" si="88"/>
        <v>0.11059761152056173</v>
      </c>
      <c r="Y21" s="17">
        <f t="shared" si="88"/>
        <v>0.11460646092268019</v>
      </c>
      <c r="Z21" s="17">
        <f t="shared" si="88"/>
        <v>0.1180458396206438</v>
      </c>
      <c r="AA21" s="17">
        <f t="shared" si="88"/>
        <v>0.12081709953901057</v>
      </c>
      <c r="AB21" s="17">
        <f t="shared" si="88"/>
        <v>0.12350550965761138</v>
      </c>
    </row>
    <row r="22" spans="1:31" ht="12.75" x14ac:dyDescent="0.2">
      <c r="B22" s="1" t="s">
        <v>39</v>
      </c>
      <c r="C22" s="17">
        <f>C13/C12</f>
        <v>0.17982456140350889</v>
      </c>
      <c r="D22" s="24">
        <f>D13/D12</f>
        <v>0.24369747899159513</v>
      </c>
      <c r="E22" s="17">
        <f>E13/E12</f>
        <v>0.1938775510204083</v>
      </c>
      <c r="F22" s="24">
        <f>F13/F12</f>
        <v>0.10324483775811219</v>
      </c>
      <c r="G22" s="17">
        <f>G13/G12</f>
        <v>0.16470588235294117</v>
      </c>
      <c r="H22" s="24">
        <f>H13/H12</f>
        <v>1.252609603340293E-2</v>
      </c>
      <c r="I22" s="17">
        <f>I13/I12</f>
        <v>0.20176297747306565</v>
      </c>
      <c r="M22" s="17">
        <f t="shared" ref="M22:AB22" si="89">M13/M12</f>
        <v>0.21079046424090325</v>
      </c>
      <c r="N22" s="17">
        <f t="shared" si="89"/>
        <v>0.2312633832976447</v>
      </c>
      <c r="O22" s="17">
        <f t="shared" si="89"/>
        <v>0.20172910662824173</v>
      </c>
      <c r="P22" s="17">
        <f t="shared" si="89"/>
        <v>0.38961038961038963</v>
      </c>
      <c r="Q22" s="17">
        <f t="shared" si="89"/>
        <v>9.692451071761421E-2</v>
      </c>
      <c r="R22" s="46">
        <f t="shared" si="89"/>
        <v>7.1486408328513593E-2</v>
      </c>
      <c r="S22" s="17">
        <f t="shared" si="89"/>
        <v>0.10502702489573466</v>
      </c>
      <c r="T22" s="17">
        <f t="shared" si="89"/>
        <v>0.10186700796932187</v>
      </c>
      <c r="U22" s="17">
        <f t="shared" si="89"/>
        <v>9.6714394477376342E-2</v>
      </c>
      <c r="V22" s="17">
        <f t="shared" si="89"/>
        <v>9.1970020554332496E-2</v>
      </c>
      <c r="W22" s="17">
        <f t="shared" si="89"/>
        <v>9.044021224480886E-2</v>
      </c>
      <c r="X22" s="17">
        <f t="shared" si="89"/>
        <v>8.8156294143896266E-2</v>
      </c>
      <c r="Y22" s="17">
        <f t="shared" si="89"/>
        <v>8.589552558515802E-2</v>
      </c>
      <c r="Z22" s="17">
        <f t="shared" si="89"/>
        <v>8.4068705408878883E-2</v>
      </c>
      <c r="AA22" s="17">
        <f t="shared" si="89"/>
        <v>8.2701205380195056E-2</v>
      </c>
      <c r="AB22" s="17">
        <f t="shared" si="89"/>
        <v>8.1367959521315258E-2</v>
      </c>
    </row>
    <row r="23" spans="1:31" ht="12.75" x14ac:dyDescent="0.2">
      <c r="N23" s="1"/>
    </row>
    <row r="24" spans="1:31" s="2" customFormat="1" ht="12.75" x14ac:dyDescent="0.2">
      <c r="B24" s="2" t="s">
        <v>40</v>
      </c>
      <c r="C24" s="10" t="s">
        <v>80</v>
      </c>
      <c r="D24" s="18" t="s">
        <v>80</v>
      </c>
      <c r="E24" s="21">
        <f>E3/C3-1</f>
        <v>0.14129810453762204</v>
      </c>
      <c r="F24" s="41">
        <f>F3/D3-1</f>
        <v>-0.3061400980109541</v>
      </c>
      <c r="G24" s="21">
        <f>G3/E3-1</f>
        <v>-0.55309511826874691</v>
      </c>
      <c r="H24" s="41">
        <f>H3/F3-1</f>
        <v>-0.36850851682592434</v>
      </c>
      <c r="I24" s="21">
        <f>I3/G3-1</f>
        <v>0.87894144144144137</v>
      </c>
      <c r="J24" s="31"/>
      <c r="M24" s="10" t="s">
        <v>80</v>
      </c>
      <c r="N24" s="21">
        <f t="shared" ref="N24:S24" si="90">N3/M3-1</f>
        <v>-2.2907239819004555E-2</v>
      </c>
      <c r="O24" s="21">
        <f t="shared" si="90"/>
        <v>5.9334298118669526E-3</v>
      </c>
      <c r="P24" s="21">
        <f t="shared" si="90"/>
        <v>-8.2002589555459693E-2</v>
      </c>
      <c r="Q24" s="21">
        <f t="shared" si="90"/>
        <v>-0.48346654129446798</v>
      </c>
      <c r="R24" s="47">
        <f t="shared" si="90"/>
        <v>0.43999999999999995</v>
      </c>
      <c r="S24" s="21">
        <f t="shared" si="90"/>
        <v>0.10000000000000009</v>
      </c>
      <c r="T24" s="21">
        <f t="shared" ref="T24:U24" si="91">T3/S3-1</f>
        <v>0.10000000000000009</v>
      </c>
      <c r="U24" s="21">
        <f t="shared" si="91"/>
        <v>5.0000000000000044E-2</v>
      </c>
      <c r="V24" s="21">
        <f t="shared" ref="V24:AB24" si="92">V3/U3-1</f>
        <v>5.0000000000000044E-2</v>
      </c>
      <c r="W24" s="21">
        <f t="shared" si="92"/>
        <v>5.0000000000000044E-2</v>
      </c>
      <c r="X24" s="21">
        <f t="shared" si="92"/>
        <v>5.0000000000000044E-2</v>
      </c>
      <c r="Y24" s="21">
        <f t="shared" si="92"/>
        <v>5.0000000000000044E-2</v>
      </c>
      <c r="Z24" s="21">
        <f t="shared" si="92"/>
        <v>5.0000000000000044E-2</v>
      </c>
      <c r="AA24" s="21">
        <f t="shared" si="92"/>
        <v>5.0000000000000044E-2</v>
      </c>
      <c r="AB24" s="21">
        <f t="shared" si="92"/>
        <v>5.0000000000000044E-2</v>
      </c>
    </row>
    <row r="25" spans="1:31" ht="12.75" x14ac:dyDescent="0.2">
      <c r="B25" s="1" t="s">
        <v>41</v>
      </c>
      <c r="C25" s="10" t="s">
        <v>80</v>
      </c>
      <c r="D25" s="24">
        <f t="shared" ref="D25:I25" si="93">D3/C3-1</f>
        <v>-3.7334865020102193E-3</v>
      </c>
      <c r="E25" s="29">
        <f t="shared" si="93"/>
        <v>0.14557509368694133</v>
      </c>
      <c r="F25" s="24">
        <f t="shared" si="93"/>
        <v>-0.39431303472571699</v>
      </c>
      <c r="G25" s="29">
        <f t="shared" si="93"/>
        <v>-0.26215205650186968</v>
      </c>
      <c r="H25" s="24">
        <f t="shared" si="93"/>
        <v>-0.144144144144144</v>
      </c>
      <c r="I25" s="29">
        <f t="shared" si="93"/>
        <v>1.195394736842105</v>
      </c>
      <c r="M25" s="10" t="s">
        <v>80</v>
      </c>
      <c r="N25" s="10" t="s">
        <v>80</v>
      </c>
      <c r="O25" s="10" t="s">
        <v>80</v>
      </c>
      <c r="P25" s="10" t="s">
        <v>80</v>
      </c>
      <c r="Q25" s="10" t="s">
        <v>80</v>
      </c>
      <c r="S25" s="10" t="s">
        <v>80</v>
      </c>
      <c r="T25" s="10" t="s">
        <v>80</v>
      </c>
      <c r="U25" s="10" t="s">
        <v>80</v>
      </c>
      <c r="V25" s="10" t="s">
        <v>80</v>
      </c>
      <c r="W25" s="10" t="s">
        <v>80</v>
      </c>
      <c r="X25" s="10" t="s">
        <v>80</v>
      </c>
      <c r="Y25" s="10" t="s">
        <v>80</v>
      </c>
      <c r="Z25" s="10" t="s">
        <v>80</v>
      </c>
      <c r="AA25" s="10" t="s">
        <v>80</v>
      </c>
      <c r="AB25" s="10" t="s">
        <v>80</v>
      </c>
    </row>
    <row r="26" spans="1:31" x14ac:dyDescent="0.25">
      <c r="AD26" s="52" t="s">
        <v>92</v>
      </c>
      <c r="AE26" s="53">
        <v>-0.06</v>
      </c>
    </row>
    <row r="27" spans="1:31" x14ac:dyDescent="0.25">
      <c r="A27" s="2"/>
      <c r="AD27" s="54" t="s">
        <v>93</v>
      </c>
      <c r="AE27" s="55">
        <v>0.09</v>
      </c>
    </row>
    <row r="28" spans="1:31" x14ac:dyDescent="0.25">
      <c r="B28" s="22" t="s">
        <v>42</v>
      </c>
      <c r="AD28" s="54" t="s">
        <v>94</v>
      </c>
      <c r="AE28" s="56">
        <f>NPV(AE27,M15:BO15)</f>
        <v>539.45280557551189</v>
      </c>
    </row>
    <row r="29" spans="1:31" x14ac:dyDescent="0.25">
      <c r="B29" s="1" t="s">
        <v>43</v>
      </c>
      <c r="C29" s="1">
        <v>447.8</v>
      </c>
      <c r="D29" s="20">
        <f>O29</f>
        <v>447.8</v>
      </c>
      <c r="E29" s="1">
        <v>532.70000000000005</v>
      </c>
      <c r="F29" s="20">
        <f>P29</f>
        <v>521</v>
      </c>
      <c r="H29" s="20">
        <f t="shared" ref="H29:H41" si="94">Q29</f>
        <v>504.6</v>
      </c>
      <c r="I29" s="16">
        <v>503.6</v>
      </c>
      <c r="M29" s="1">
        <v>411.5</v>
      </c>
      <c r="N29">
        <v>459.1</v>
      </c>
      <c r="O29" s="1">
        <v>447.8</v>
      </c>
      <c r="P29" s="1">
        <v>521</v>
      </c>
      <c r="Q29" s="1">
        <v>504.6</v>
      </c>
      <c r="AD29" s="54" t="s">
        <v>8</v>
      </c>
      <c r="AE29" s="56">
        <f>Main!C11</f>
        <v>87.600000000000009</v>
      </c>
    </row>
    <row r="30" spans="1:31" x14ac:dyDescent="0.25">
      <c r="B30" s="1" t="s">
        <v>44</v>
      </c>
      <c r="C30" s="1">
        <v>161.5</v>
      </c>
      <c r="D30" s="20">
        <f t="shared" ref="D30:D59" si="95">O30</f>
        <v>161.5</v>
      </c>
      <c r="E30" s="1">
        <v>153.30000000000001</v>
      </c>
      <c r="F30" s="20">
        <f t="shared" ref="F30:F59" si="96">P30</f>
        <v>144.6</v>
      </c>
      <c r="H30" s="20">
        <f t="shared" si="94"/>
        <v>117.4</v>
      </c>
      <c r="I30" s="16">
        <v>112.2</v>
      </c>
      <c r="M30" s="1">
        <v>187.9</v>
      </c>
      <c r="N30">
        <v>171.5</v>
      </c>
      <c r="O30" s="1">
        <v>161.5</v>
      </c>
      <c r="P30" s="1">
        <v>144.6</v>
      </c>
      <c r="Q30" s="1">
        <v>117.4</v>
      </c>
      <c r="AD30" s="54" t="s">
        <v>95</v>
      </c>
      <c r="AE30" s="56">
        <f>AE28+AE29</f>
        <v>627.05280557551191</v>
      </c>
    </row>
    <row r="31" spans="1:31" x14ac:dyDescent="0.25">
      <c r="B31" s="1" t="s">
        <v>45</v>
      </c>
      <c r="C31" s="1">
        <v>0</v>
      </c>
      <c r="D31" s="20">
        <f t="shared" si="95"/>
        <v>0</v>
      </c>
      <c r="E31" s="1">
        <v>174.8</v>
      </c>
      <c r="F31" s="20">
        <f t="shared" si="96"/>
        <v>145.1</v>
      </c>
      <c r="H31" s="20">
        <f t="shared" si="94"/>
        <v>128.6</v>
      </c>
      <c r="I31" s="16">
        <v>134.4</v>
      </c>
      <c r="M31" s="1">
        <v>0</v>
      </c>
      <c r="N31">
        <v>0</v>
      </c>
      <c r="O31" s="1">
        <v>0</v>
      </c>
      <c r="P31" s="1">
        <v>145.1</v>
      </c>
      <c r="Q31" s="1">
        <v>128.6</v>
      </c>
      <c r="AD31" s="57" t="s">
        <v>96</v>
      </c>
      <c r="AE31" s="58">
        <f>AE30/Main!C7</f>
        <v>1.338626487576611</v>
      </c>
    </row>
    <row r="32" spans="1:31" x14ac:dyDescent="0.25">
      <c r="B32" s="1" t="s">
        <v>46</v>
      </c>
      <c r="C32" s="1">
        <v>3.5</v>
      </c>
      <c r="D32" s="20">
        <f t="shared" si="95"/>
        <v>3.5</v>
      </c>
      <c r="E32" s="1">
        <v>3.5</v>
      </c>
      <c r="F32" s="20">
        <f t="shared" si="96"/>
        <v>0</v>
      </c>
      <c r="H32" s="20">
        <f t="shared" si="94"/>
        <v>0</v>
      </c>
      <c r="I32" s="26">
        <v>0</v>
      </c>
      <c r="M32" s="1">
        <v>0</v>
      </c>
      <c r="N32">
        <v>3.5</v>
      </c>
      <c r="O32" s="1">
        <v>3.5</v>
      </c>
      <c r="P32" s="1">
        <v>0</v>
      </c>
      <c r="Q32" s="1">
        <v>0</v>
      </c>
      <c r="AD32" s="54" t="s">
        <v>97</v>
      </c>
      <c r="AE32" s="61">
        <f>Main!C6</f>
        <v>0.83</v>
      </c>
    </row>
    <row r="33" spans="2:31" x14ac:dyDescent="0.25">
      <c r="B33" s="1" t="s">
        <v>47</v>
      </c>
      <c r="C33" s="1">
        <v>0.1</v>
      </c>
      <c r="D33" s="20">
        <f t="shared" si="95"/>
        <v>0.1</v>
      </c>
      <c r="E33" s="1">
        <v>0.3</v>
      </c>
      <c r="F33" s="20">
        <f t="shared" si="96"/>
        <v>0.9</v>
      </c>
      <c r="H33" s="20">
        <f t="shared" si="94"/>
        <v>3.6</v>
      </c>
      <c r="I33" s="16">
        <v>4.7</v>
      </c>
      <c r="M33" s="1">
        <v>0.1</v>
      </c>
      <c r="N33">
        <v>0.4</v>
      </c>
      <c r="O33" s="1">
        <v>0.1</v>
      </c>
      <c r="P33" s="1">
        <v>0.9</v>
      </c>
      <c r="Q33" s="1">
        <v>3.6</v>
      </c>
      <c r="AD33" s="59" t="s">
        <v>98</v>
      </c>
      <c r="AE33" s="60">
        <f>AE31/AE32-1</f>
        <v>0.61280299708025421</v>
      </c>
    </row>
    <row r="34" spans="2:31" x14ac:dyDescent="0.25">
      <c r="B34" s="1" t="s">
        <v>48</v>
      </c>
      <c r="C34" s="1">
        <v>4.0999999999999996</v>
      </c>
      <c r="D34" s="20">
        <f t="shared" si="95"/>
        <v>4.0999999999999996</v>
      </c>
      <c r="E34" s="1">
        <v>7.8</v>
      </c>
      <c r="F34" s="20">
        <f t="shared" si="96"/>
        <v>7</v>
      </c>
      <c r="H34" s="20">
        <f t="shared" si="94"/>
        <v>5.0999999999999996</v>
      </c>
      <c r="I34" s="16">
        <v>6.5</v>
      </c>
      <c r="M34" s="1">
        <v>6.5</v>
      </c>
      <c r="N34">
        <v>3.7</v>
      </c>
      <c r="O34" s="1">
        <v>4.0999999999999996</v>
      </c>
      <c r="P34" s="1">
        <v>7</v>
      </c>
      <c r="Q34" s="1">
        <v>5.0999999999999996</v>
      </c>
    </row>
    <row r="35" spans="2:31" ht="12.75" x14ac:dyDescent="0.2">
      <c r="B35" s="1" t="s">
        <v>49</v>
      </c>
      <c r="C35" s="1">
        <f>SUM(C29:C34)</f>
        <v>617</v>
      </c>
      <c r="D35" s="20">
        <f t="shared" si="95"/>
        <v>617</v>
      </c>
      <c r="E35" s="1">
        <f>SUM(E29:E34)</f>
        <v>872.39999999999986</v>
      </c>
      <c r="F35" s="20">
        <f t="shared" si="96"/>
        <v>818.6</v>
      </c>
      <c r="H35" s="20">
        <f t="shared" si="94"/>
        <v>759.30000000000007</v>
      </c>
      <c r="I35" s="1">
        <f>SUM(I29:I34)</f>
        <v>761.40000000000009</v>
      </c>
      <c r="M35" s="1">
        <f t="shared" ref="M35" si="97">SUM(M29:M34)</f>
        <v>606</v>
      </c>
      <c r="N35" s="1">
        <f t="shared" ref="N35" si="98">SUM(N29:N34)</f>
        <v>638.20000000000005</v>
      </c>
      <c r="O35" s="1">
        <f t="shared" ref="O35" si="99">SUM(O29:O34)</f>
        <v>617</v>
      </c>
      <c r="P35" s="1">
        <f>SUM(P29:P34)</f>
        <v>818.6</v>
      </c>
      <c r="Q35" s="1">
        <f>SUM(Q29:Q34)</f>
        <v>759.30000000000007</v>
      </c>
    </row>
    <row r="36" spans="2:31" x14ac:dyDescent="0.25">
      <c r="B36" s="1" t="s">
        <v>50</v>
      </c>
      <c r="C36" s="1">
        <v>2.7</v>
      </c>
      <c r="D36" s="20">
        <f t="shared" si="95"/>
        <v>2.7</v>
      </c>
      <c r="E36" s="1">
        <v>2.8</v>
      </c>
      <c r="F36" s="20">
        <f t="shared" si="96"/>
        <v>2</v>
      </c>
      <c r="H36" s="20">
        <f t="shared" si="94"/>
        <v>2</v>
      </c>
      <c r="I36" s="16">
        <v>2.5</v>
      </c>
      <c r="M36" s="1">
        <v>2.8</v>
      </c>
      <c r="N36">
        <v>2.5</v>
      </c>
      <c r="O36" s="1">
        <v>2.7</v>
      </c>
      <c r="P36" s="1">
        <v>2</v>
      </c>
      <c r="Q36" s="1">
        <v>2</v>
      </c>
    </row>
    <row r="37" spans="2:31" x14ac:dyDescent="0.25">
      <c r="B37" s="1" t="s">
        <v>48</v>
      </c>
      <c r="C37" s="1">
        <v>27.2</v>
      </c>
      <c r="D37" s="20">
        <f t="shared" si="95"/>
        <v>27.2</v>
      </c>
      <c r="E37" s="1">
        <v>24.2</v>
      </c>
      <c r="F37" s="20">
        <f t="shared" si="96"/>
        <v>19.600000000000001</v>
      </c>
      <c r="H37" s="20">
        <f t="shared" si="94"/>
        <v>16.3</v>
      </c>
      <c r="I37" s="16">
        <v>19.3</v>
      </c>
      <c r="M37" s="1">
        <v>25.3</v>
      </c>
      <c r="N37">
        <v>29.2</v>
      </c>
      <c r="O37" s="1">
        <v>27.2</v>
      </c>
      <c r="P37" s="1">
        <v>19.600000000000001</v>
      </c>
      <c r="Q37" s="1">
        <v>16.3</v>
      </c>
    </row>
    <row r="38" spans="2:31" x14ac:dyDescent="0.25">
      <c r="B38" s="1" t="s">
        <v>51</v>
      </c>
      <c r="C38" s="1">
        <v>0</v>
      </c>
      <c r="D38" s="20">
        <f t="shared" si="95"/>
        <v>0</v>
      </c>
      <c r="E38" s="1">
        <v>0</v>
      </c>
      <c r="F38" s="20">
        <f t="shared" si="96"/>
        <v>11.9</v>
      </c>
      <c r="H38" s="20">
        <f t="shared" si="94"/>
        <v>0.8</v>
      </c>
      <c r="I38" s="26">
        <v>0</v>
      </c>
      <c r="M38" s="1">
        <v>0.3</v>
      </c>
      <c r="N38">
        <v>0</v>
      </c>
      <c r="O38" s="1">
        <v>0</v>
      </c>
      <c r="P38" s="1">
        <v>11.9</v>
      </c>
      <c r="Q38" s="1">
        <v>0.8</v>
      </c>
    </row>
    <row r="39" spans="2:31" x14ac:dyDescent="0.25">
      <c r="B39" s="1" t="s">
        <v>52</v>
      </c>
      <c r="C39" s="1">
        <v>0.6</v>
      </c>
      <c r="D39" s="20">
        <f t="shared" si="95"/>
        <v>0.6</v>
      </c>
      <c r="E39" s="1">
        <v>0</v>
      </c>
      <c r="F39" s="20">
        <f t="shared" si="96"/>
        <v>1.4</v>
      </c>
      <c r="H39" s="20">
        <f t="shared" si="94"/>
        <v>10.1</v>
      </c>
      <c r="I39" s="16">
        <v>1.1000000000000001</v>
      </c>
      <c r="M39">
        <v>0</v>
      </c>
      <c r="N39">
        <v>0</v>
      </c>
      <c r="O39" s="1">
        <v>0.6</v>
      </c>
      <c r="P39" s="1">
        <v>1.4</v>
      </c>
      <c r="Q39" s="1">
        <v>10.1</v>
      </c>
    </row>
    <row r="40" spans="2:31" s="2" customFormat="1" x14ac:dyDescent="0.25">
      <c r="B40" s="2" t="s">
        <v>53</v>
      </c>
      <c r="C40" s="2">
        <v>61.8</v>
      </c>
      <c r="D40" s="19">
        <f t="shared" si="95"/>
        <v>61.7</v>
      </c>
      <c r="E40" s="2">
        <v>116.4</v>
      </c>
      <c r="F40" s="19">
        <f t="shared" si="96"/>
        <v>73.599999999999994</v>
      </c>
      <c r="H40" s="19">
        <f t="shared" si="94"/>
        <v>69.599999999999994</v>
      </c>
      <c r="I40" s="15">
        <v>163.5</v>
      </c>
      <c r="J40" s="31"/>
      <c r="M40" s="2">
        <v>79</v>
      </c>
      <c r="N40" s="36">
        <v>50.4</v>
      </c>
      <c r="O40" s="2">
        <v>61.7</v>
      </c>
      <c r="P40" s="2">
        <v>73.599999999999994</v>
      </c>
      <c r="Q40" s="2">
        <v>69.599999999999994</v>
      </c>
      <c r="R40" s="31"/>
    </row>
    <row r="41" spans="2:31" ht="12.75" x14ac:dyDescent="0.2">
      <c r="B41" s="1" t="s">
        <v>54</v>
      </c>
      <c r="C41" s="1">
        <f>C35+C36+C37+C38+C39+C40</f>
        <v>709.30000000000007</v>
      </c>
      <c r="D41" s="20">
        <f t="shared" si="95"/>
        <v>709.20000000000016</v>
      </c>
      <c r="E41" s="16">
        <f>E35+E36+E37+E38+E39+E40</f>
        <v>1015.7999999999998</v>
      </c>
      <c r="F41" s="20">
        <f t="shared" si="96"/>
        <v>927.1</v>
      </c>
      <c r="H41" s="20">
        <f t="shared" si="94"/>
        <v>858.1</v>
      </c>
      <c r="I41" s="1">
        <f>I35+I36+I37+I38+I39+I40</f>
        <v>947.80000000000007</v>
      </c>
      <c r="M41" s="1">
        <f t="shared" ref="M41:N41" si="100">M35+M36+M37+M38+M39+M40</f>
        <v>713.39999999999986</v>
      </c>
      <c r="N41" s="1">
        <f t="shared" si="100"/>
        <v>720.30000000000007</v>
      </c>
      <c r="O41" s="1">
        <f t="shared" ref="O41" si="101">O35+O36+O37+O38+O39+O40</f>
        <v>709.20000000000016</v>
      </c>
      <c r="P41" s="1">
        <f>P35+P36+P37+P38+P39+P40</f>
        <v>927.1</v>
      </c>
      <c r="Q41" s="1">
        <f>Q35+Q36+Q37+Q38+Q39+Q40</f>
        <v>858.1</v>
      </c>
    </row>
    <row r="43" spans="2:31" x14ac:dyDescent="0.25">
      <c r="B43" s="1" t="s">
        <v>55</v>
      </c>
      <c r="C43" s="1">
        <v>145.19999999999999</v>
      </c>
      <c r="D43" s="20">
        <f t="shared" si="95"/>
        <v>145.19999999999999</v>
      </c>
      <c r="E43" s="1">
        <v>147.4</v>
      </c>
      <c r="F43" s="20">
        <f t="shared" si="96"/>
        <v>142.6</v>
      </c>
      <c r="H43" s="20">
        <f t="shared" ref="H43:H56" si="102">Q43</f>
        <v>126.3</v>
      </c>
      <c r="I43" s="16">
        <v>144.80000000000001</v>
      </c>
      <c r="M43" s="1">
        <v>128.9</v>
      </c>
      <c r="N43">
        <v>153.1</v>
      </c>
      <c r="O43" s="1">
        <v>145.19999999999999</v>
      </c>
      <c r="P43" s="1">
        <v>142.6</v>
      </c>
      <c r="Q43" s="1">
        <v>126.3</v>
      </c>
    </row>
    <row r="44" spans="2:31" x14ac:dyDescent="0.25">
      <c r="B44" s="1" t="s">
        <v>56</v>
      </c>
      <c r="C44" s="1">
        <v>0</v>
      </c>
      <c r="D44" s="20">
        <f t="shared" si="95"/>
        <v>0</v>
      </c>
      <c r="E44" s="1">
        <v>39</v>
      </c>
      <c r="F44" s="20">
        <f t="shared" si="96"/>
        <v>50.9</v>
      </c>
      <c r="H44" s="20">
        <f t="shared" si="102"/>
        <v>42.2</v>
      </c>
      <c r="I44" s="16">
        <v>40</v>
      </c>
      <c r="M44">
        <v>0</v>
      </c>
      <c r="N44">
        <v>0</v>
      </c>
      <c r="O44" s="1">
        <v>0</v>
      </c>
      <c r="P44" s="1">
        <v>50.9</v>
      </c>
      <c r="Q44" s="1">
        <v>42.2</v>
      </c>
    </row>
    <row r="45" spans="2:31" x14ac:dyDescent="0.25">
      <c r="B45" s="1" t="s">
        <v>57</v>
      </c>
      <c r="C45" s="1">
        <v>7.2</v>
      </c>
      <c r="D45" s="20">
        <f t="shared" si="95"/>
        <v>7.2</v>
      </c>
      <c r="E45" s="1">
        <v>7</v>
      </c>
      <c r="F45" s="20">
        <f t="shared" si="96"/>
        <v>2.5</v>
      </c>
      <c r="H45" s="20">
        <f t="shared" si="102"/>
        <v>3.1</v>
      </c>
      <c r="I45" s="16">
        <v>1.7</v>
      </c>
      <c r="M45" s="1">
        <v>12.7</v>
      </c>
      <c r="N45">
        <v>10.3</v>
      </c>
      <c r="O45" s="1">
        <v>7.2</v>
      </c>
      <c r="P45" s="1">
        <v>2.5</v>
      </c>
      <c r="Q45" s="1">
        <v>3.1</v>
      </c>
    </row>
    <row r="46" spans="2:31" x14ac:dyDescent="0.25">
      <c r="B46" s="1" t="s">
        <v>58</v>
      </c>
      <c r="C46" s="1">
        <v>0</v>
      </c>
      <c r="D46" s="20">
        <f t="shared" si="95"/>
        <v>0</v>
      </c>
      <c r="E46" s="1">
        <v>0</v>
      </c>
      <c r="F46" s="20">
        <f t="shared" si="96"/>
        <v>0</v>
      </c>
      <c r="H46" s="20">
        <f t="shared" si="102"/>
        <v>0</v>
      </c>
      <c r="I46" s="16">
        <v>31</v>
      </c>
      <c r="M46" s="1">
        <v>0</v>
      </c>
      <c r="N46">
        <v>0</v>
      </c>
      <c r="O46" s="1">
        <v>0</v>
      </c>
      <c r="P46" s="1">
        <v>0</v>
      </c>
      <c r="Q46" s="1">
        <v>0</v>
      </c>
    </row>
    <row r="47" spans="2:31" s="2" customFormat="1" x14ac:dyDescent="0.25">
      <c r="B47" s="2" t="s">
        <v>59</v>
      </c>
      <c r="C47" s="2">
        <v>54.7</v>
      </c>
      <c r="D47" s="19">
        <f t="shared" si="95"/>
        <v>54.7</v>
      </c>
      <c r="E47" s="2">
        <v>41</v>
      </c>
      <c r="F47" s="19">
        <f t="shared" si="96"/>
        <v>21.7</v>
      </c>
      <c r="H47" s="19">
        <f t="shared" si="102"/>
        <v>39.4</v>
      </c>
      <c r="I47" s="37">
        <v>0</v>
      </c>
      <c r="J47" s="31"/>
      <c r="M47" s="2">
        <v>34.6</v>
      </c>
      <c r="N47" s="36">
        <v>54.2</v>
      </c>
      <c r="O47" s="2">
        <v>54.7</v>
      </c>
      <c r="P47" s="2">
        <v>21.7</v>
      </c>
      <c r="Q47" s="2">
        <v>39.4</v>
      </c>
      <c r="R47" s="31"/>
    </row>
    <row r="48" spans="2:31" x14ac:dyDescent="0.25">
      <c r="B48" s="1" t="s">
        <v>60</v>
      </c>
      <c r="C48" s="1">
        <v>14.9</v>
      </c>
      <c r="D48" s="20">
        <f t="shared" si="95"/>
        <v>14.9</v>
      </c>
      <c r="E48" s="1">
        <v>10.6</v>
      </c>
      <c r="F48" s="20">
        <f t="shared" si="96"/>
        <v>3</v>
      </c>
      <c r="H48" s="20">
        <f t="shared" si="102"/>
        <v>5.4</v>
      </c>
      <c r="I48" s="16">
        <v>5.8</v>
      </c>
      <c r="M48" s="1">
        <v>10</v>
      </c>
      <c r="N48">
        <v>8</v>
      </c>
      <c r="O48" s="1">
        <v>14.9</v>
      </c>
      <c r="P48" s="1">
        <v>3</v>
      </c>
      <c r="Q48" s="1">
        <v>5.4</v>
      </c>
    </row>
    <row r="49" spans="2:18" ht="12.75" x14ac:dyDescent="0.2">
      <c r="B49" s="1" t="s">
        <v>61</v>
      </c>
      <c r="C49" s="1">
        <f>SUM(C43:C48)</f>
        <v>221.99999999999997</v>
      </c>
      <c r="D49" s="20">
        <f t="shared" si="95"/>
        <v>221.99999999999997</v>
      </c>
      <c r="E49" s="1">
        <f>SUM(E43:E48)</f>
        <v>245</v>
      </c>
      <c r="F49" s="20">
        <f t="shared" si="96"/>
        <v>220.7</v>
      </c>
      <c r="H49" s="20">
        <f t="shared" si="102"/>
        <v>216.4</v>
      </c>
      <c r="I49" s="1">
        <f>SUM(I43:I48)</f>
        <v>223.3</v>
      </c>
      <c r="M49" s="1">
        <f t="shared" ref="M49" si="103">SUM(M43:M48)</f>
        <v>186.2</v>
      </c>
      <c r="N49" s="1">
        <f t="shared" ref="N49" si="104">SUM(N43:N48)</f>
        <v>225.60000000000002</v>
      </c>
      <c r="O49" s="1">
        <f t="shared" ref="O49" si="105">SUM(O43:O48)</f>
        <v>221.99999999999997</v>
      </c>
      <c r="P49" s="1">
        <f>SUM(P43:P48)</f>
        <v>220.7</v>
      </c>
      <c r="Q49" s="1">
        <f>SUM(Q43:Q48)</f>
        <v>216.4</v>
      </c>
    </row>
    <row r="50" spans="2:18" x14ac:dyDescent="0.25">
      <c r="B50" s="1" t="s">
        <v>55</v>
      </c>
      <c r="C50" s="1">
        <v>26</v>
      </c>
      <c r="D50" s="20">
        <f t="shared" si="95"/>
        <v>27</v>
      </c>
      <c r="E50" s="1">
        <v>0</v>
      </c>
      <c r="F50" s="20">
        <f t="shared" si="96"/>
        <v>1.1000000000000001</v>
      </c>
      <c r="H50" s="20">
        <f t="shared" si="102"/>
        <v>0</v>
      </c>
      <c r="I50" s="16">
        <v>0</v>
      </c>
      <c r="M50" s="1">
        <v>31.8</v>
      </c>
      <c r="N50">
        <v>30.6</v>
      </c>
      <c r="O50" s="1">
        <v>27</v>
      </c>
      <c r="P50" s="1">
        <v>1.1000000000000001</v>
      </c>
      <c r="Q50" s="1">
        <v>0</v>
      </c>
    </row>
    <row r="51" spans="2:18" x14ac:dyDescent="0.25">
      <c r="B51" s="1" t="s">
        <v>56</v>
      </c>
      <c r="C51" s="1">
        <v>0</v>
      </c>
      <c r="D51" s="20">
        <f t="shared" si="95"/>
        <v>0</v>
      </c>
      <c r="E51" s="1">
        <v>208.8</v>
      </c>
      <c r="F51" s="20">
        <f t="shared" si="96"/>
        <v>189.6</v>
      </c>
      <c r="H51" s="20">
        <f t="shared" si="102"/>
        <v>164.7</v>
      </c>
      <c r="I51" s="16">
        <v>156.30000000000001</v>
      </c>
      <c r="M51">
        <v>0</v>
      </c>
      <c r="N51">
        <v>0</v>
      </c>
      <c r="O51" s="1">
        <v>0</v>
      </c>
      <c r="P51" s="1">
        <v>189.6</v>
      </c>
      <c r="Q51" s="1">
        <v>164.7</v>
      </c>
    </row>
    <row r="52" spans="2:18" s="2" customFormat="1" x14ac:dyDescent="0.25">
      <c r="B52" s="2" t="s">
        <v>59</v>
      </c>
      <c r="C52" s="2">
        <v>5.3</v>
      </c>
      <c r="D52" s="19">
        <f t="shared" si="95"/>
        <v>5.3</v>
      </c>
      <c r="E52" s="2">
        <v>126.2</v>
      </c>
      <c r="F52" s="19">
        <f t="shared" si="96"/>
        <v>107.4</v>
      </c>
      <c r="H52" s="19">
        <f t="shared" si="102"/>
        <v>77.7</v>
      </c>
      <c r="I52" s="15">
        <v>77.7</v>
      </c>
      <c r="J52" s="31"/>
      <c r="M52" s="2">
        <v>57</v>
      </c>
      <c r="N52" s="36">
        <v>5.5</v>
      </c>
      <c r="O52" s="2">
        <v>5.3</v>
      </c>
      <c r="P52" s="2">
        <v>107.4</v>
      </c>
      <c r="Q52" s="2">
        <v>77.7</v>
      </c>
      <c r="R52" s="31"/>
    </row>
    <row r="53" spans="2:18" x14ac:dyDescent="0.25">
      <c r="B53" s="1" t="s">
        <v>47</v>
      </c>
      <c r="C53" s="1">
        <v>22.1</v>
      </c>
      <c r="D53" s="20">
        <f t="shared" si="95"/>
        <v>22.1</v>
      </c>
      <c r="E53" s="1">
        <v>19.600000000000001</v>
      </c>
      <c r="F53" s="20">
        <f t="shared" si="96"/>
        <v>22.5</v>
      </c>
      <c r="H53" s="20">
        <f t="shared" si="102"/>
        <v>18.3</v>
      </c>
      <c r="I53" s="16">
        <v>26.2</v>
      </c>
      <c r="M53" s="1">
        <v>19.899999999999999</v>
      </c>
      <c r="N53">
        <v>24.4</v>
      </c>
      <c r="O53" s="1">
        <v>22.1</v>
      </c>
      <c r="P53" s="1">
        <v>22.5</v>
      </c>
      <c r="Q53" s="1">
        <v>18.3</v>
      </c>
    </row>
    <row r="54" spans="2:18" x14ac:dyDescent="0.25">
      <c r="B54" s="1" t="s">
        <v>60</v>
      </c>
      <c r="C54" s="1">
        <v>31.9</v>
      </c>
      <c r="D54" s="20">
        <f t="shared" si="95"/>
        <v>31.9</v>
      </c>
      <c r="E54" s="1">
        <v>5.8</v>
      </c>
      <c r="F54" s="20">
        <f t="shared" si="96"/>
        <v>15.9</v>
      </c>
      <c r="H54" s="20">
        <f t="shared" si="102"/>
        <v>16</v>
      </c>
      <c r="I54" s="16">
        <v>16</v>
      </c>
      <c r="M54" s="1">
        <v>23.7</v>
      </c>
      <c r="N54">
        <v>33.6</v>
      </c>
      <c r="O54" s="1">
        <v>31.9</v>
      </c>
      <c r="P54" s="1">
        <v>15.9</v>
      </c>
      <c r="Q54" s="1">
        <v>16</v>
      </c>
    </row>
    <row r="55" spans="2:18" x14ac:dyDescent="0.25">
      <c r="B55" s="1" t="s">
        <v>62</v>
      </c>
      <c r="C55" s="1">
        <v>4</v>
      </c>
      <c r="D55" s="20">
        <f t="shared" si="95"/>
        <v>4</v>
      </c>
      <c r="E55" s="1">
        <v>3.9</v>
      </c>
      <c r="F55" s="20">
        <f t="shared" si="96"/>
        <v>4</v>
      </c>
      <c r="H55" s="20">
        <f t="shared" si="102"/>
        <v>3.8</v>
      </c>
      <c r="I55" s="16">
        <v>3.7</v>
      </c>
      <c r="M55" s="1">
        <v>4.2</v>
      </c>
      <c r="N55">
        <v>4.0999999999999996</v>
      </c>
      <c r="O55" s="1">
        <v>4</v>
      </c>
      <c r="P55" s="1">
        <v>4</v>
      </c>
      <c r="Q55" s="1">
        <v>3.8</v>
      </c>
    </row>
    <row r="56" spans="2:18" ht="12.75" x14ac:dyDescent="0.2">
      <c r="B56" s="1" t="s">
        <v>63</v>
      </c>
      <c r="C56" s="1">
        <f>C49+C50+C51+C52+C53+C54+C55</f>
        <v>311.29999999999995</v>
      </c>
      <c r="D56" s="20">
        <f t="shared" si="95"/>
        <v>312.29999999999995</v>
      </c>
      <c r="E56" s="1">
        <f>E49+E50+E51+E52+E53+E54+E55</f>
        <v>609.29999999999995</v>
      </c>
      <c r="F56" s="20">
        <f t="shared" si="96"/>
        <v>561.19999999999993</v>
      </c>
      <c r="H56" s="20">
        <f t="shared" si="102"/>
        <v>496.90000000000003</v>
      </c>
      <c r="I56" s="1">
        <f>I49+I50+I51+I52+I53+I54+I55</f>
        <v>503.2</v>
      </c>
      <c r="M56" s="1">
        <f t="shared" ref="M56" si="106">M49+M50+M51+M52+M53+M54+M55</f>
        <v>322.79999999999995</v>
      </c>
      <c r="N56" s="1">
        <f t="shared" ref="N56" si="107">N49+N50+N51+N52+N53+N54+N55</f>
        <v>323.80000000000007</v>
      </c>
      <c r="O56" s="1">
        <f t="shared" ref="O56" si="108">O49+O50+O51+O52+O53+O54+O55</f>
        <v>312.29999999999995</v>
      </c>
      <c r="P56" s="1">
        <f>P49+P50+P51+P52+P53+P54+P55</f>
        <v>561.19999999999993</v>
      </c>
      <c r="Q56" s="1">
        <f>Q49+Q50+Q51+Q52+Q53+Q54+Q55</f>
        <v>496.90000000000003</v>
      </c>
    </row>
    <row r="58" spans="2:18" x14ac:dyDescent="0.25">
      <c r="B58" s="1" t="s">
        <v>64</v>
      </c>
      <c r="C58" s="1">
        <v>398</v>
      </c>
      <c r="D58" s="20">
        <f t="shared" si="95"/>
        <v>398</v>
      </c>
      <c r="E58" s="1">
        <v>406.3</v>
      </c>
      <c r="F58" s="20">
        <f t="shared" si="96"/>
        <v>365.9</v>
      </c>
      <c r="H58" s="20">
        <f>Q58</f>
        <v>361.2</v>
      </c>
      <c r="I58" s="16">
        <v>444.6</v>
      </c>
      <c r="M58" s="1">
        <v>390.6</v>
      </c>
      <c r="N58">
        <v>396.5</v>
      </c>
      <c r="O58" s="1">
        <v>398</v>
      </c>
      <c r="P58" s="1">
        <v>365.9</v>
      </c>
      <c r="Q58" s="1">
        <v>361.2</v>
      </c>
    </row>
    <row r="59" spans="2:18" ht="12.75" x14ac:dyDescent="0.2">
      <c r="B59" s="1" t="s">
        <v>65</v>
      </c>
      <c r="C59" s="1">
        <f>C58+C56</f>
        <v>709.3</v>
      </c>
      <c r="D59" s="20">
        <f t="shared" si="95"/>
        <v>710.3</v>
      </c>
      <c r="E59" s="16">
        <f>E58+E56</f>
        <v>1015.5999999999999</v>
      </c>
      <c r="F59" s="20">
        <f t="shared" si="96"/>
        <v>927.09999999999991</v>
      </c>
      <c r="H59" s="20">
        <f>Q59</f>
        <v>858.1</v>
      </c>
      <c r="I59" s="1">
        <f>I56+I58</f>
        <v>947.8</v>
      </c>
      <c r="M59" s="1">
        <f t="shared" ref="M59" si="109">M56+M58</f>
        <v>713.4</v>
      </c>
      <c r="N59" s="1">
        <f t="shared" ref="N59" si="110">N56+N58</f>
        <v>720.30000000000007</v>
      </c>
      <c r="O59" s="1">
        <f t="shared" ref="O59" si="111">O56+O58</f>
        <v>710.3</v>
      </c>
      <c r="P59" s="1">
        <f>P56+P58</f>
        <v>927.09999999999991</v>
      </c>
      <c r="Q59" s="1">
        <f>Q56+Q58</f>
        <v>858.1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G15 G12:H12 H8 H5 E12:F12 F8 F5 D5 D8 D12 D35 D41 D49 D56 D59" formula="1"/>
    <ignoredError sqref="S9:S1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2022-06-13T14:50:55Z</dcterms:created>
  <dcterms:modified xsi:type="dcterms:W3CDTF">2022-07-18T16:54:58Z</dcterms:modified>
</cp:coreProperties>
</file>