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9F3FECF-41FE-4404-AF74-08F0BC303D8A}" xr6:coauthVersionLast="36" xr6:coauthVersionMax="47" xr10:uidLastSave="{00000000-0000-0000-0000-000000000000}"/>
  <bookViews>
    <workbookView xWindow="0" yWindow="495" windowWidth="33600" windowHeight="18405" xr2:uid="{4835F308-E20A-4B7A-9F17-94D4123EA96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H61" i="2"/>
  <c r="H60" i="2"/>
  <c r="L61" i="2"/>
  <c r="L60" i="2"/>
  <c r="C35" i="1" l="1"/>
  <c r="V19" i="2" l="1"/>
  <c r="M19" i="2"/>
  <c r="L19" i="2"/>
  <c r="K19" i="2"/>
  <c r="J19" i="2"/>
  <c r="I19" i="2"/>
  <c r="H19" i="2"/>
  <c r="G19" i="2"/>
  <c r="F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U19" i="2"/>
  <c r="T19" i="2"/>
  <c r="S19" i="2"/>
  <c r="R19" i="2"/>
  <c r="Q19" i="2"/>
  <c r="P19" i="2"/>
  <c r="X3" i="2" l="1"/>
  <c r="Y3" i="2" s="1"/>
  <c r="X4" i="2"/>
  <c r="X5" i="2" s="1"/>
  <c r="X8" i="2" s="1"/>
  <c r="X10" i="2" s="1"/>
  <c r="X7" i="2"/>
  <c r="Y7" i="2"/>
  <c r="Z7" i="2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X11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X21" i="2"/>
  <c r="V7" i="2"/>
  <c r="V3" i="2"/>
  <c r="U29" i="2"/>
  <c r="S29" i="2"/>
  <c r="Q29" i="2"/>
  <c r="P29" i="2"/>
  <c r="Q31" i="2"/>
  <c r="P31" i="2"/>
  <c r="Q21" i="2"/>
  <c r="P9" i="2"/>
  <c r="Q9" i="2"/>
  <c r="P5" i="2"/>
  <c r="P8" i="2" s="1"/>
  <c r="R21" i="2"/>
  <c r="Q5" i="2"/>
  <c r="Q16" i="2" s="1"/>
  <c r="Z3" i="2" l="1"/>
  <c r="Y11" i="2"/>
  <c r="Y4" i="2"/>
  <c r="Y5" i="2" s="1"/>
  <c r="Y8" i="2" s="1"/>
  <c r="Y10" i="2" s="1"/>
  <c r="Y12" i="2" s="1"/>
  <c r="X12" i="2"/>
  <c r="X13" i="2" s="1"/>
  <c r="Y13" i="2"/>
  <c r="Z4" i="2"/>
  <c r="Z5" i="2" s="1"/>
  <c r="Z8" i="2" s="1"/>
  <c r="Z10" i="2" s="1"/>
  <c r="Y21" i="2"/>
  <c r="P16" i="2"/>
  <c r="P17" i="2"/>
  <c r="P10" i="2"/>
  <c r="P12" i="2" s="1"/>
  <c r="Q8" i="2"/>
  <c r="AA3" i="2" l="1"/>
  <c r="Z11" i="2"/>
  <c r="Z12" i="2" s="1"/>
  <c r="Z13" i="2" s="1"/>
  <c r="Y17" i="2"/>
  <c r="Z21" i="2"/>
  <c r="X16" i="2"/>
  <c r="Y16" i="2"/>
  <c r="Q17" i="2"/>
  <c r="Q10" i="2"/>
  <c r="Q12" i="2" s="1"/>
  <c r="P13" i="2"/>
  <c r="P18" i="2"/>
  <c r="AA4" i="2" l="1"/>
  <c r="AA11" i="2"/>
  <c r="AB3" i="2"/>
  <c r="AA5" i="2"/>
  <c r="AA8" i="2" s="1"/>
  <c r="AA10" i="2" s="1"/>
  <c r="AA12" i="2" s="1"/>
  <c r="AA13" i="2" s="1"/>
  <c r="Z16" i="2"/>
  <c r="AA21" i="2"/>
  <c r="Y18" i="2"/>
  <c r="Q13" i="2"/>
  <c r="Q18" i="2"/>
  <c r="AC3" i="2" l="1"/>
  <c r="AB4" i="2"/>
  <c r="AB5" i="2" s="1"/>
  <c r="AB8" i="2" s="1"/>
  <c r="AB10" i="2" s="1"/>
  <c r="AB11" i="2"/>
  <c r="AA16" i="2"/>
  <c r="AB21" i="2"/>
  <c r="Z17" i="2"/>
  <c r="AB12" i="2" l="1"/>
  <c r="AB13" i="2" s="1"/>
  <c r="AD3" i="2"/>
  <c r="AC4" i="2"/>
  <c r="AC5" i="2" s="1"/>
  <c r="AC8" i="2" s="1"/>
  <c r="AC10" i="2" s="1"/>
  <c r="AC12" i="2" s="1"/>
  <c r="AC13" i="2" s="1"/>
  <c r="AC11" i="2"/>
  <c r="Z18" i="2"/>
  <c r="AC21" i="2"/>
  <c r="AB16" i="2"/>
  <c r="AA17" i="2"/>
  <c r="G14" i="2"/>
  <c r="I14" i="2"/>
  <c r="K14" i="2"/>
  <c r="V14" i="2"/>
  <c r="M14" i="2" s="1"/>
  <c r="H21" i="2"/>
  <c r="J21" i="2"/>
  <c r="L21" i="2"/>
  <c r="S21" i="2"/>
  <c r="T21" i="2"/>
  <c r="U21" i="2"/>
  <c r="AO21" i="2"/>
  <c r="S25" i="2"/>
  <c r="U25" i="2"/>
  <c r="AE3" i="2" l="1"/>
  <c r="AD4" i="2"/>
  <c r="AD5" i="2" s="1"/>
  <c r="AD8" i="2" s="1"/>
  <c r="AD10" i="2" s="1"/>
  <c r="AD11" i="2"/>
  <c r="AC16" i="2"/>
  <c r="AB17" i="2"/>
  <c r="AD21" i="2"/>
  <c r="AA18" i="2"/>
  <c r="W14" i="2"/>
  <c r="V4" i="2"/>
  <c r="M4" i="2" s="1"/>
  <c r="M9" i="2"/>
  <c r="M6" i="2"/>
  <c r="H50" i="2"/>
  <c r="H55" i="2" s="1"/>
  <c r="H58" i="2" s="1"/>
  <c r="H39" i="2"/>
  <c r="H44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I9" i="2" s="1"/>
  <c r="T5" i="2"/>
  <c r="T16" i="2" s="1"/>
  <c r="U5" i="2"/>
  <c r="L50" i="2"/>
  <c r="L55" i="2" s="1"/>
  <c r="L58" i="2" s="1"/>
  <c r="L39" i="2"/>
  <c r="L44" i="2" s="1"/>
  <c r="J5" i="2"/>
  <c r="J16" i="2" s="1"/>
  <c r="L5" i="2"/>
  <c r="L16" i="2" s="1"/>
  <c r="AD12" i="2" l="1"/>
  <c r="AD13" i="2" s="1"/>
  <c r="AF3" i="2"/>
  <c r="AE11" i="2"/>
  <c r="AE4" i="2"/>
  <c r="AE5" i="2" s="1"/>
  <c r="AE8" i="2" s="1"/>
  <c r="AE10" i="2" s="1"/>
  <c r="AE12" i="2" s="1"/>
  <c r="AE13" i="2" s="1"/>
  <c r="AD16" i="2"/>
  <c r="AE21" i="2"/>
  <c r="AB18" i="2"/>
  <c r="AC17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V21" i="2"/>
  <c r="K22" i="2"/>
  <c r="L22" i="2"/>
  <c r="K21" i="2"/>
  <c r="F8" i="2"/>
  <c r="F17" i="2" s="1"/>
  <c r="F16" i="2"/>
  <c r="I22" i="2"/>
  <c r="J22" i="2"/>
  <c r="I21" i="2"/>
  <c r="W3" i="2"/>
  <c r="W21" i="2" s="1"/>
  <c r="V5" i="2"/>
  <c r="V16" i="2" s="1"/>
  <c r="M3" i="2"/>
  <c r="M22" i="2" s="1"/>
  <c r="I8" i="2"/>
  <c r="V11" i="2"/>
  <c r="G5" i="2"/>
  <c r="G16" i="2" s="1"/>
  <c r="L8" i="2"/>
  <c r="L17" i="2" s="1"/>
  <c r="K8" i="2"/>
  <c r="K17" i="2" s="1"/>
  <c r="T8" i="2"/>
  <c r="T17" i="2" s="1"/>
  <c r="J8" i="2"/>
  <c r="J17" i="2" s="1"/>
  <c r="S8" i="2"/>
  <c r="S17" i="2" s="1"/>
  <c r="AG3" i="2" l="1"/>
  <c r="AF4" i="2"/>
  <c r="AF5" i="2"/>
  <c r="AF8" i="2" s="1"/>
  <c r="AF10" i="2" s="1"/>
  <c r="AF11" i="2"/>
  <c r="AE16" i="2"/>
  <c r="AF21" i="2"/>
  <c r="AC18" i="2"/>
  <c r="AD17" i="2"/>
  <c r="M11" i="2"/>
  <c r="F10" i="2"/>
  <c r="F12" i="2" s="1"/>
  <c r="F18" i="2" s="1"/>
  <c r="H10" i="2"/>
  <c r="H12" i="2" s="1"/>
  <c r="H17" i="2"/>
  <c r="I10" i="2"/>
  <c r="I12" i="2" s="1"/>
  <c r="I18" i="2" s="1"/>
  <c r="I17" i="2"/>
  <c r="U10" i="2"/>
  <c r="U12" i="2" s="1"/>
  <c r="U18" i="2" s="1"/>
  <c r="M5" i="2"/>
  <c r="M21" i="2"/>
  <c r="R10" i="2"/>
  <c r="R12" i="2" s="1"/>
  <c r="R18" i="2" s="1"/>
  <c r="W4" i="2"/>
  <c r="W5" i="2" s="1"/>
  <c r="W11" i="2"/>
  <c r="J10" i="2"/>
  <c r="J12" i="2" s="1"/>
  <c r="J18" i="2" s="1"/>
  <c r="G8" i="2"/>
  <c r="G17" i="2" s="1"/>
  <c r="S10" i="2"/>
  <c r="L10" i="2"/>
  <c r="L12" i="2" s="1"/>
  <c r="L18" i="2" s="1"/>
  <c r="R13" i="2"/>
  <c r="T10" i="2"/>
  <c r="T12" i="2" s="1"/>
  <c r="T18" i="2" s="1"/>
  <c r="K10" i="2"/>
  <c r="K12" i="2" s="1"/>
  <c r="K18" i="2" s="1"/>
  <c r="AF12" i="2" l="1"/>
  <c r="AF13" i="2" s="1"/>
  <c r="AH3" i="2"/>
  <c r="AG4" i="2"/>
  <c r="AG11" i="2"/>
  <c r="AG5" i="2"/>
  <c r="AG8" i="2" s="1"/>
  <c r="AG10" i="2" s="1"/>
  <c r="AG12" i="2" s="1"/>
  <c r="AG13" i="2" s="1"/>
  <c r="AF16" i="2"/>
  <c r="AG21" i="2"/>
  <c r="AD18" i="2"/>
  <c r="AE17" i="2"/>
  <c r="I13" i="2"/>
  <c r="U13" i="2"/>
  <c r="F13" i="2"/>
  <c r="J13" i="2"/>
  <c r="H13" i="2"/>
  <c r="H18" i="2"/>
  <c r="W16" i="2"/>
  <c r="M16" i="2"/>
  <c r="S12" i="2"/>
  <c r="S18" i="2" s="1"/>
  <c r="G10" i="2"/>
  <c r="L13" i="2"/>
  <c r="T13" i="2"/>
  <c r="K13" i="2"/>
  <c r="C8" i="1"/>
  <c r="C34" i="1" s="1"/>
  <c r="C11" i="1"/>
  <c r="AO18" i="2" s="1"/>
  <c r="AI3" i="2" l="1"/>
  <c r="AH11" i="2"/>
  <c r="AH4" i="2"/>
  <c r="AH5" i="2" s="1"/>
  <c r="AH8" i="2" s="1"/>
  <c r="AH10" i="2" s="1"/>
  <c r="AH12" i="2" s="1"/>
  <c r="AH13" i="2" s="1"/>
  <c r="AH21" i="2"/>
  <c r="AG16" i="2"/>
  <c r="AE18" i="2"/>
  <c r="AF17" i="2"/>
  <c r="G12" i="2"/>
  <c r="G18" i="2" s="1"/>
  <c r="S13" i="2"/>
  <c r="C12" i="1"/>
  <c r="AJ3" i="2" l="1"/>
  <c r="AI11" i="2"/>
  <c r="AI4" i="2"/>
  <c r="AI5" i="2" s="1"/>
  <c r="AI8" i="2" s="1"/>
  <c r="AI10" i="2" s="1"/>
  <c r="AI12" i="2" s="1"/>
  <c r="AI13" i="2" s="1"/>
  <c r="AH16" i="2"/>
  <c r="AG17" i="2"/>
  <c r="AI21" i="2"/>
  <c r="AF18" i="2"/>
  <c r="G13" i="2"/>
  <c r="AK3" i="2" l="1"/>
  <c r="AJ11" i="2"/>
  <c r="AJ4" i="2"/>
  <c r="AJ5" i="2" s="1"/>
  <c r="AJ8" i="2" s="1"/>
  <c r="AJ10" i="2" s="1"/>
  <c r="AJ12" i="2" s="1"/>
  <c r="AJ13" i="2" s="1"/>
  <c r="AI16" i="2"/>
  <c r="AJ21" i="2"/>
  <c r="AG18" i="2"/>
  <c r="AH17" i="2"/>
  <c r="M10" i="2"/>
  <c r="M12" i="2"/>
  <c r="M13" i="2" s="1"/>
  <c r="M7" i="2"/>
  <c r="M8" i="2"/>
  <c r="M17" i="2"/>
  <c r="W7" i="2"/>
  <c r="W8" i="2"/>
  <c r="W10" i="2" s="1"/>
  <c r="W12" i="2" s="1"/>
  <c r="V8" i="2"/>
  <c r="V10" i="2" s="1"/>
  <c r="V12" i="2" s="1"/>
  <c r="V17" i="2"/>
  <c r="AL3" i="2" l="1"/>
  <c r="AK4" i="2"/>
  <c r="AK11" i="2"/>
  <c r="AK5" i="2"/>
  <c r="AK8" i="2" s="1"/>
  <c r="AK10" i="2" s="1"/>
  <c r="AK12" i="2" s="1"/>
  <c r="AK13" i="2" s="1"/>
  <c r="AK21" i="2"/>
  <c r="AJ16" i="2"/>
  <c r="AH18" i="2"/>
  <c r="AI17" i="2"/>
  <c r="W17" i="2"/>
  <c r="V13" i="2"/>
  <c r="V18" i="2"/>
  <c r="X18" i="2"/>
  <c r="W18" i="2"/>
  <c r="W13" i="2"/>
  <c r="M18" i="2"/>
  <c r="X17" i="2"/>
  <c r="AL4" i="2" l="1"/>
  <c r="AL5" i="2" s="1"/>
  <c r="AL8" i="2" s="1"/>
  <c r="AL10" i="2" s="1"/>
  <c r="AL11" i="2"/>
  <c r="AK16" i="2"/>
  <c r="AJ17" i="2"/>
  <c r="AI18" i="2"/>
  <c r="AL21" i="2"/>
  <c r="AL12" i="2" l="1"/>
  <c r="AL13" i="2" s="1"/>
  <c r="AL16" i="2"/>
  <c r="AJ18" i="2"/>
  <c r="AK17" i="2"/>
  <c r="AK18" i="2" l="1"/>
  <c r="AL17" i="2"/>
  <c r="AL18" i="2" l="1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O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indexed="81"/>
            <rFont val="Tahoma"/>
            <family val="2"/>
          </rPr>
          <t>7 in pipeline
- 1 (2020) 
- 2 (2021)
- 2 (2022)
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<sst xmlns="http://schemas.openxmlformats.org/spreadsheetml/2006/main" count="196" uniqueCount="140">
  <si>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</si>
  <si>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</si>
  <si>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</si>
  <si>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</si>
  <si>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</si>
  <si>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</si>
  <si>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</si>
  <si>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</si>
  <si>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</si>
  <si>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</si>
  <si>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</si>
  <si>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</si>
  <si>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</si>
  <si>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</si>
  <si>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</si>
  <si>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</si>
  <si>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</si>
  <si>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</si>
  <si>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</si>
  <si>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</si>
  <si>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</si>
  <si>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</si>
  <si>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</si>
  <si>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</si>
  <si>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</si>
  <si>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</si>
  <si>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</si>
  <si>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</si>
  <si>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</si>
  <si>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</si>
  <si>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2015?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</si>
  <si>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</si>
  <si>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</si>
  <si>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</si>
  <si>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</si>
  <si>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</si>
  <si>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</si>
  <si>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</si>
  <si>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</si>
  <si>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</si>
  <si>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</si>
  <si>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</si>
  <si>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</si>
  <si>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</si>
  <si>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</si>
  <si>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</si>
  <si>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</si>
  <si>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</si>
  <si>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</si>
  <si>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</si>
  <si>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</si>
  <si>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</si>
  <si>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</si>
  <si>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</si>
  <si>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</si>
  <si>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</si>
  <si>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</si>
  <si>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</si>
  <si>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</si>
  <si>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</si>
  <si>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</si>
  <si>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</si>
  <si>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</si>
  <si>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</si>
  <si>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</si>
  <si>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</si>
  <si>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</si>
  <si>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</si>
  <si>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</si>
  <si>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</si>
  <si>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</si>
  <si>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</si>
  <si>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</si>
  <si>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</si>
  <si>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</si>
  <si>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</si>
  <si>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</si>
  <si>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</si>
  <si>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</si>
  <si>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</si>
  <si>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</si>
  <si>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</si>
  <si>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</si>
  <si>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</si>
  <si>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</si>
  <si>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</si>
  <si>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</si>
  <si>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</si>
  <si>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</si>
  <si>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</si>
  <si>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</si>
  <si>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</si>
  <si>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</si>
  <si>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</si>
  <si>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</si>
  <si>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</si>
  <si>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</si>
  <si>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</si>
  <si>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Metrics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</si>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</sst>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#,##0.0_);[Red]\(#,##0.0\)"/>
    <numFmt numFmtId="167" formatCode="#\x"/>
    <numFmt numFmtId="168" formatCode="0.0\x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165" fontId="4" fillId="6" borderId="0" xfId="0" applyNumberFormat="1" applyFont="1" applyFill="1"/>
    <xf numFmtId="165" fontId="2" fillId="6" borderId="0" xfId="0" applyNumberFormat="1" applyFont="1" applyFill="1"/>
    <xf numFmtId="164" fontId="4" fillId="6" borderId="0" xfId="0" applyNumberFormat="1" applyFont="1" applyFill="1"/>
    <xf numFmtId="0" fontId="2" fillId="6" borderId="0" xfId="0" applyFont="1" applyFill="1"/>
    <xf numFmtId="9" fontId="2" fillId="6" borderId="0" xfId="1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164" fontId="2" fillId="6" borderId="0" xfId="0" applyNumberFormat="1" applyFont="1" applyFill="1"/>
    <xf numFmtId="165" fontId="2" fillId="0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2" fontId="2" fillId="0" borderId="0" xfId="0" applyNumberFormat="1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6" xfId="0" applyFont="1" applyFill="1" applyBorder="1" applyAlignment="1">
      <alignment horizontal="center"/>
    </xf>
    <xf numFmtId="9" fontId="2" fillId="0" borderId="0" xfId="1" applyNumberFormat="1" applyFont="1"/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9" fontId="4" fillId="6" borderId="0" xfId="1" applyFont="1" applyFill="1"/>
    <xf numFmtId="1" fontId="2" fillId="0" borderId="0" xfId="0" applyNumberFormat="1" applyFont="1"/>
    <xf numFmtId="1" fontId="2" fillId="5" borderId="0" xfId="0" applyNumberFormat="1" applyFont="1" applyFill="1"/>
    <xf numFmtId="1" fontId="2" fillId="6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6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1" fontId="15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 applyAlignment="1"/>
    <xf numFmtId="0" fontId="4" fillId="4" borderId="0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0" xfId="0" applyFont="1" applyFill="1" applyBorder="1" applyAlignment="1"/>
    <xf numFmtId="0" fontId="2" fillId="4" borderId="5" xfId="0" applyFont="1" applyFill="1" applyBorder="1" applyAlignment="1"/>
    <xf numFmtId="0" fontId="4" fillId="4" borderId="6" xfId="0" applyFont="1" applyFill="1" applyBorder="1" applyAlignment="1"/>
    <xf numFmtId="0" fontId="4" fillId="4" borderId="7" xfId="0" applyFont="1" applyFill="1" applyBorder="1" applyAlignment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164" fontId="4" fillId="0" borderId="0" xfId="0" applyNumberFormat="1" applyFont="1" applyFill="1"/>
    <xf numFmtId="165" fontId="4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/>
    <xf numFmtId="9" fontId="2" fillId="0" borderId="0" xfId="1" applyFont="1" applyFill="1"/>
    <xf numFmtId="0" fontId="2" fillId="0" borderId="0" xfId="0" applyFont="1" applyFill="1" applyAlignment="1">
      <alignment horizontal="right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19050</xdr:rowOff>
    </xdr:from>
    <xdr:to>
      <xdr:col>21</xdr:col>
      <xdr:colOff>19050</xdr:colOff>
      <xdr:row>65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1534775" y="19050"/>
          <a:ext cx="0" cy="925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9525</xdr:rowOff>
    </xdr:from>
    <xdr:to>
      <xdr:col>12</xdr:col>
      <xdr:colOff>0</xdr:colOff>
      <xdr:row>65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7848600" y="9525"/>
          <a:ext cx="0" cy="1055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hollywoodbowlgroup.com/application/files/5416/4302/8194/Full_Year_Announcement_RNS_FINAL.pdf" TargetMode="Externa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topLeftCell="A4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21" t="s">
        <v>2</v>
      </c>
      <c r="C5" s="122"/>
      <c r="D5" s="123"/>
      <c r="H5" s="121" t="s">
        <v>103</v>
      </c>
      <c r="I5" s="122"/>
      <c r="J5" s="122"/>
      <c r="K5" s="122"/>
      <c r="L5" s="123"/>
      <c r="O5" s="121" t="s">
        <v>69</v>
      </c>
      <c r="P5" s="122"/>
      <c r="Q5" s="122"/>
      <c r="R5" s="122"/>
      <c r="S5" s="122"/>
      <c r="T5" s="122"/>
      <c r="U5" s="123"/>
    </row>
    <row r="6" spans="2:21" x14ac:dyDescent="0.2">
      <c r="B6" s="4" t="s">
        <v>3</v>
      </c>
      <c r="C6" s="58">
        <v>2.02</v>
      </c>
      <c r="D6" s="40"/>
      <c r="H6" s="126" t="s">
        <v>105</v>
      </c>
      <c r="I6" s="127"/>
      <c r="J6" s="127"/>
      <c r="K6" s="127"/>
      <c r="L6" s="72" t="s">
        <v>104</v>
      </c>
      <c r="O6" s="59"/>
      <c r="P6" s="6"/>
      <c r="Q6" s="6"/>
      <c r="R6" s="6"/>
      <c r="S6" s="6"/>
      <c r="T6" s="6"/>
      <c r="U6" s="7"/>
    </row>
    <row r="7" spans="2:21" x14ac:dyDescent="0.2">
      <c r="B7" s="4" t="s">
        <v>4</v>
      </c>
      <c r="C7" s="14">
        <v>171.07</v>
      </c>
      <c r="D7" s="40" t="s">
        <v>18</v>
      </c>
      <c r="H7" s="128" t="s">
        <v>102</v>
      </c>
      <c r="I7" s="129"/>
      <c r="J7" s="129"/>
      <c r="K7" s="129"/>
      <c r="L7" s="73">
        <v>45</v>
      </c>
      <c r="O7" s="59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345.56139999999999</v>
      </c>
      <c r="D8" s="40"/>
      <c r="H8" s="130" t="s">
        <v>106</v>
      </c>
      <c r="I8" s="119"/>
      <c r="J8" s="119"/>
      <c r="K8" s="119"/>
      <c r="L8" s="73">
        <v>11</v>
      </c>
      <c r="O8" s="59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v>49.6</v>
      </c>
      <c r="D9" s="40" t="s">
        <v>18</v>
      </c>
      <c r="H9" s="130" t="s">
        <v>107</v>
      </c>
      <c r="I9" s="119"/>
      <c r="J9" s="119"/>
      <c r="K9" s="119"/>
      <c r="L9" s="73">
        <v>6</v>
      </c>
      <c r="O9" s="59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v>0</v>
      </c>
      <c r="D10" s="40" t="s">
        <v>18</v>
      </c>
      <c r="H10" s="130" t="s">
        <v>108</v>
      </c>
      <c r="I10" s="119"/>
      <c r="J10" s="119"/>
      <c r="K10" s="119"/>
      <c r="L10" s="73">
        <v>7</v>
      </c>
      <c r="O10" s="59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49.6</v>
      </c>
      <c r="D11" s="40" t="s">
        <v>18</v>
      </c>
      <c r="H11" s="130" t="s">
        <v>109</v>
      </c>
      <c r="I11" s="119"/>
      <c r="J11" s="119"/>
      <c r="K11" s="119"/>
      <c r="L11" s="73">
        <v>6</v>
      </c>
      <c r="O11" s="59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295.96139999999997</v>
      </c>
      <c r="D12" s="41"/>
      <c r="H12" s="131" t="s">
        <v>110</v>
      </c>
      <c r="I12" s="124"/>
      <c r="J12" s="124"/>
      <c r="K12" s="124"/>
      <c r="L12" s="74">
        <v>174</v>
      </c>
      <c r="O12" s="59"/>
      <c r="P12" s="6"/>
      <c r="Q12" s="6"/>
      <c r="R12" s="6"/>
      <c r="S12" s="6"/>
      <c r="T12" s="6"/>
      <c r="U12" s="7"/>
    </row>
    <row r="13" spans="2:21" x14ac:dyDescent="0.2">
      <c r="H13" s="71"/>
      <c r="I13" s="71"/>
      <c r="J13" s="71"/>
      <c r="O13" s="59"/>
      <c r="P13" s="6"/>
      <c r="Q13" s="6"/>
      <c r="R13" s="6"/>
      <c r="S13" s="6"/>
      <c r="T13" s="6"/>
      <c r="U13" s="7"/>
    </row>
    <row r="14" spans="2:21" x14ac:dyDescent="0.2">
      <c r="O14" s="60"/>
      <c r="P14" s="8"/>
      <c r="Q14" s="8"/>
      <c r="R14" s="8"/>
      <c r="S14" s="8"/>
      <c r="T14" s="8"/>
      <c r="U14" s="9"/>
    </row>
    <row r="15" spans="2:21" x14ac:dyDescent="0.2">
      <c r="B15" s="121" t="s">
        <v>10</v>
      </c>
      <c r="C15" s="122"/>
      <c r="D15" s="123"/>
    </row>
    <row r="16" spans="2:21" x14ac:dyDescent="0.2">
      <c r="B16" s="16" t="s">
        <v>11</v>
      </c>
      <c r="C16" s="119" t="s">
        <v>95</v>
      </c>
      <c r="D16" s="120"/>
    </row>
    <row r="17" spans="2:16" x14ac:dyDescent="0.2">
      <c r="B17" s="16" t="s">
        <v>96</v>
      </c>
      <c r="C17" s="119" t="s">
        <v>97</v>
      </c>
      <c r="D17" s="120"/>
      <c r="H17" s="121" t="s">
        <v>127</v>
      </c>
      <c r="I17" s="122"/>
      <c r="J17" s="122"/>
      <c r="K17" s="122"/>
      <c r="L17" s="123"/>
    </row>
    <row r="18" spans="2:16" x14ac:dyDescent="0.2">
      <c r="B18" s="16"/>
      <c r="C18" s="119"/>
      <c r="D18" s="120"/>
      <c r="H18" s="99" t="s">
        <v>121</v>
      </c>
      <c r="I18" s="100"/>
      <c r="J18" s="100"/>
      <c r="K18" s="103"/>
      <c r="L18" s="104"/>
    </row>
    <row r="19" spans="2:16" x14ac:dyDescent="0.2">
      <c r="B19" s="61"/>
      <c r="C19" s="124"/>
      <c r="D19" s="125"/>
      <c r="H19" s="107" t="s">
        <v>122</v>
      </c>
      <c r="I19" s="100"/>
      <c r="J19" s="100"/>
      <c r="K19" s="103"/>
      <c r="L19" s="104"/>
    </row>
    <row r="20" spans="2:16" x14ac:dyDescent="0.2">
      <c r="H20" s="107"/>
      <c r="I20" s="100"/>
      <c r="J20" s="100"/>
      <c r="K20" s="103"/>
      <c r="L20" s="104"/>
      <c r="P20" s="116" t="s">
        <v>132</v>
      </c>
    </row>
    <row r="21" spans="2:16" x14ac:dyDescent="0.2">
      <c r="H21" s="99" t="s">
        <v>123</v>
      </c>
      <c r="I21" s="100"/>
      <c r="J21" s="100"/>
      <c r="K21" s="103"/>
      <c r="L21" s="104"/>
      <c r="P21" s="116" t="s">
        <v>131</v>
      </c>
    </row>
    <row r="22" spans="2:16" x14ac:dyDescent="0.2">
      <c r="B22" s="121" t="s">
        <v>26</v>
      </c>
      <c r="C22" s="122"/>
      <c r="D22" s="123"/>
      <c r="H22" s="107" t="s">
        <v>124</v>
      </c>
      <c r="I22" s="100"/>
      <c r="J22" s="100"/>
      <c r="K22" s="103"/>
      <c r="L22" s="104"/>
    </row>
    <row r="23" spans="2:16" x14ac:dyDescent="0.2">
      <c r="B23" s="17" t="s">
        <v>27</v>
      </c>
      <c r="C23" s="119" t="s">
        <v>29</v>
      </c>
      <c r="D23" s="120"/>
      <c r="H23" s="108" t="s">
        <v>130</v>
      </c>
      <c r="I23" s="100"/>
      <c r="J23" s="100"/>
      <c r="K23" s="103"/>
      <c r="L23" s="104"/>
    </row>
    <row r="24" spans="2:16" x14ac:dyDescent="0.2">
      <c r="B24" s="17" t="s">
        <v>28</v>
      </c>
      <c r="C24" s="119" t="s">
        <v>30</v>
      </c>
      <c r="D24" s="120"/>
      <c r="H24" s="99"/>
      <c r="I24" s="100"/>
      <c r="J24" s="100"/>
      <c r="K24" s="103"/>
      <c r="L24" s="104"/>
    </row>
    <row r="25" spans="2:16" x14ac:dyDescent="0.2">
      <c r="B25" s="17" t="s">
        <v>33</v>
      </c>
      <c r="C25" s="119">
        <v>64</v>
      </c>
      <c r="D25" s="120"/>
      <c r="H25" s="99"/>
      <c r="I25" s="100"/>
      <c r="J25" s="100"/>
      <c r="K25" s="103"/>
      <c r="L25" s="104"/>
    </row>
    <row r="26" spans="2:16" x14ac:dyDescent="0.2">
      <c r="B26" s="17" t="s">
        <v>116</v>
      </c>
      <c r="C26" s="119"/>
      <c r="D26" s="120"/>
      <c r="H26" s="105"/>
      <c r="I26" s="106"/>
      <c r="J26" s="106"/>
      <c r="K26" s="101"/>
      <c r="L26" s="102"/>
    </row>
    <row r="27" spans="2:16" x14ac:dyDescent="0.2">
      <c r="B27" s="17" t="s">
        <v>120</v>
      </c>
      <c r="C27" s="119">
        <v>2016</v>
      </c>
      <c r="D27" s="120"/>
    </row>
    <row r="28" spans="2:16" x14ac:dyDescent="0.2">
      <c r="B28" s="17"/>
      <c r="C28" s="6"/>
      <c r="D28" s="7"/>
    </row>
    <row r="29" spans="2:16" x14ac:dyDescent="0.2">
      <c r="B29" s="18" t="s">
        <v>31</v>
      </c>
      <c r="C29" s="134" t="s">
        <v>32</v>
      </c>
      <c r="D29" s="135"/>
      <c r="H29" s="121" t="s">
        <v>128</v>
      </c>
      <c r="I29" s="122"/>
      <c r="J29" s="122"/>
      <c r="K29" s="122"/>
      <c r="L29" s="123"/>
    </row>
    <row r="30" spans="2:16" x14ac:dyDescent="0.2">
      <c r="H30" s="99" t="s">
        <v>121</v>
      </c>
      <c r="I30" s="100"/>
      <c r="J30" s="100"/>
      <c r="K30" s="103"/>
      <c r="L30" s="104"/>
    </row>
    <row r="31" spans="2:16" x14ac:dyDescent="0.2">
      <c r="H31" s="107" t="s">
        <v>125</v>
      </c>
      <c r="I31" s="100"/>
      <c r="J31" s="100"/>
      <c r="K31" s="103"/>
      <c r="L31" s="104"/>
    </row>
    <row r="32" spans="2:16" x14ac:dyDescent="0.2">
      <c r="B32" s="121" t="s">
        <v>135</v>
      </c>
      <c r="C32" s="122"/>
      <c r="D32" s="123"/>
      <c r="H32" s="107" t="s">
        <v>126</v>
      </c>
      <c r="I32" s="100"/>
      <c r="J32" s="100"/>
      <c r="K32" s="103"/>
      <c r="L32" s="104"/>
    </row>
    <row r="33" spans="2:12" x14ac:dyDescent="0.2">
      <c r="B33" s="17" t="s">
        <v>136</v>
      </c>
      <c r="C33" s="132">
        <f>C6/'Financial Model'!L61</f>
        <v>2.6117247115988658</v>
      </c>
      <c r="D33" s="133"/>
      <c r="H33" s="107"/>
      <c r="I33" s="100"/>
      <c r="J33" s="100"/>
      <c r="K33" s="103"/>
      <c r="L33" s="104"/>
    </row>
    <row r="34" spans="2:12" x14ac:dyDescent="0.2">
      <c r="B34" s="17" t="s">
        <v>137</v>
      </c>
      <c r="C34" s="132">
        <f>C8/'Financial Model'!U3</f>
        <v>4.8076101171429366</v>
      </c>
      <c r="D34" s="133"/>
      <c r="H34" s="99" t="s">
        <v>123</v>
      </c>
      <c r="I34" s="100"/>
      <c r="J34" s="100"/>
      <c r="K34" s="103"/>
      <c r="L34" s="104"/>
    </row>
    <row r="35" spans="2:12" x14ac:dyDescent="0.2">
      <c r="B35" s="17" t="s">
        <v>138</v>
      </c>
      <c r="C35" s="132">
        <f>C6/('Financial Model'!U13*100)</f>
        <v>1.9242345938657348</v>
      </c>
      <c r="D35" s="133"/>
      <c r="H35" s="107" t="s">
        <v>129</v>
      </c>
      <c r="I35" s="100"/>
      <c r="J35" s="100"/>
      <c r="K35" s="103"/>
      <c r="L35" s="104"/>
    </row>
    <row r="36" spans="2:12" x14ac:dyDescent="0.2">
      <c r="B36" s="17"/>
      <c r="C36" s="117"/>
      <c r="D36" s="118"/>
      <c r="H36" s="99"/>
      <c r="I36" s="100"/>
      <c r="J36" s="100"/>
      <c r="K36" s="103"/>
      <c r="L36" s="104"/>
    </row>
    <row r="37" spans="2:12" x14ac:dyDescent="0.2">
      <c r="B37" s="17"/>
      <c r="C37" s="117"/>
      <c r="D37" s="118"/>
      <c r="H37" s="99"/>
      <c r="I37" s="100"/>
      <c r="J37" s="100"/>
      <c r="K37" s="103"/>
      <c r="L37" s="104"/>
    </row>
    <row r="38" spans="2:12" x14ac:dyDescent="0.2">
      <c r="H38" s="105"/>
      <c r="I38" s="106"/>
      <c r="J38" s="106"/>
      <c r="K38" s="101"/>
      <c r="L38" s="102"/>
    </row>
  </sheetData>
  <mergeCells count="28">
    <mergeCell ref="B32:D32"/>
    <mergeCell ref="C33:D33"/>
    <mergeCell ref="C34:D34"/>
    <mergeCell ref="C35:D35"/>
    <mergeCell ref="H29:L29"/>
    <mergeCell ref="C29:D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72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L64" sqref="L64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6"/>
    <col min="6" max="6" width="9.140625" style="1"/>
    <col min="7" max="7" width="9.140625" style="26"/>
    <col min="8" max="8" width="9.140625" style="1"/>
    <col min="9" max="9" width="9.140625" style="26"/>
    <col min="10" max="10" width="9.140625" style="1"/>
    <col min="11" max="11" width="9.140625" style="26"/>
    <col min="12" max="12" width="9.140625" style="1"/>
    <col min="13" max="13" width="9.140625" style="47"/>
    <col min="14" max="21" width="9.140625" style="1"/>
    <col min="22" max="22" width="9.140625" style="47"/>
    <col min="23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115</v>
      </c>
      <c r="E1" s="25" t="s">
        <v>113</v>
      </c>
      <c r="F1" s="10" t="s">
        <v>13</v>
      </c>
      <c r="G1" s="25" t="s">
        <v>114</v>
      </c>
      <c r="H1" s="29" t="s">
        <v>14</v>
      </c>
      <c r="I1" s="25" t="s">
        <v>15</v>
      </c>
      <c r="J1" s="10" t="s">
        <v>16</v>
      </c>
      <c r="K1" s="25" t="s">
        <v>17</v>
      </c>
      <c r="L1" s="29" t="s">
        <v>18</v>
      </c>
      <c r="M1" s="42" t="s">
        <v>19</v>
      </c>
      <c r="P1" s="10" t="s">
        <v>71</v>
      </c>
      <c r="Q1" s="29" t="s">
        <v>70</v>
      </c>
      <c r="R1" s="10" t="s">
        <v>25</v>
      </c>
      <c r="S1" s="29" t="s">
        <v>20</v>
      </c>
      <c r="T1" s="10" t="s">
        <v>21</v>
      </c>
      <c r="U1" s="29" t="s">
        <v>22</v>
      </c>
      <c r="V1" s="42" t="s">
        <v>23</v>
      </c>
      <c r="W1" s="10" t="s">
        <v>24</v>
      </c>
      <c r="X1" s="10" t="s">
        <v>73</v>
      </c>
      <c r="Y1" s="10" t="s">
        <v>74</v>
      </c>
      <c r="Z1" s="10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0" t="s">
        <v>81</v>
      </c>
      <c r="AG1" s="10" t="s">
        <v>82</v>
      </c>
      <c r="AH1" s="10" t="s">
        <v>83</v>
      </c>
      <c r="AI1" s="10" t="s">
        <v>84</v>
      </c>
      <c r="AJ1" s="10" t="s">
        <v>85</v>
      </c>
      <c r="AK1" s="10" t="s">
        <v>86</v>
      </c>
      <c r="AL1" s="10" t="s">
        <v>87</v>
      </c>
    </row>
    <row r="2" spans="1:96" s="21" customFormat="1" x14ac:dyDescent="0.2">
      <c r="A2" s="20"/>
      <c r="B2" s="19"/>
      <c r="E2" s="36"/>
      <c r="F2" s="22">
        <v>43921</v>
      </c>
      <c r="G2" s="36">
        <v>43738</v>
      </c>
      <c r="H2" s="22">
        <v>43921</v>
      </c>
      <c r="I2" s="36">
        <v>44104</v>
      </c>
      <c r="J2" s="22">
        <v>44286</v>
      </c>
      <c r="K2" s="36">
        <v>44469</v>
      </c>
      <c r="L2" s="22">
        <v>44651</v>
      </c>
      <c r="M2" s="43" t="s">
        <v>68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43" t="s">
        <v>68</v>
      </c>
      <c r="W2" s="21" t="s">
        <v>68</v>
      </c>
      <c r="X2" s="21" t="s">
        <v>68</v>
      </c>
      <c r="Y2" s="21" t="s">
        <v>68</v>
      </c>
      <c r="Z2" s="21" t="s">
        <v>68</v>
      </c>
      <c r="AA2" s="21" t="s">
        <v>68</v>
      </c>
      <c r="AB2" s="21" t="s">
        <v>68</v>
      </c>
      <c r="AC2" s="21" t="s">
        <v>68</v>
      </c>
      <c r="AD2" s="21" t="s">
        <v>68</v>
      </c>
      <c r="AE2" s="21" t="s">
        <v>68</v>
      </c>
      <c r="AF2" s="21" t="s">
        <v>68</v>
      </c>
      <c r="AG2" s="21" t="s">
        <v>68</v>
      </c>
      <c r="AH2" s="21" t="s">
        <v>68</v>
      </c>
      <c r="AI2" s="21" t="s">
        <v>68</v>
      </c>
      <c r="AJ2" s="21" t="s">
        <v>68</v>
      </c>
      <c r="AK2" s="21" t="s">
        <v>68</v>
      </c>
      <c r="AL2" s="21" t="s">
        <v>68</v>
      </c>
    </row>
    <row r="3" spans="1:96" s="3" customFormat="1" x14ac:dyDescent="0.2">
      <c r="A3" s="11"/>
      <c r="B3" s="3" t="s">
        <v>12</v>
      </c>
      <c r="E3" s="31"/>
      <c r="F3" s="12">
        <v>66.989999999999995</v>
      </c>
      <c r="G3" s="31">
        <f t="shared" ref="G3:G12" si="0">S3-F3</f>
        <v>62.904000000000011</v>
      </c>
      <c r="H3" s="37">
        <v>69.23</v>
      </c>
      <c r="I3" s="31">
        <f>T3-H3</f>
        <v>10.242999999999995</v>
      </c>
      <c r="J3" s="12">
        <v>10.433</v>
      </c>
      <c r="K3" s="31">
        <f>U3-J3</f>
        <v>61.445</v>
      </c>
      <c r="L3" s="12">
        <v>100.173</v>
      </c>
      <c r="M3" s="44">
        <f>V3-L3</f>
        <v>158.58780000000002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44">
        <f>U3*360%</f>
        <v>258.76080000000002</v>
      </c>
      <c r="W3" s="110">
        <f>V3*1.04</f>
        <v>269.11123200000003</v>
      </c>
      <c r="X3" s="110">
        <f t="shared" ref="X3:AL3" si="1">W3*1.04</f>
        <v>279.87568128000004</v>
      </c>
      <c r="Y3" s="110">
        <f t="shared" si="1"/>
        <v>291.07070853120007</v>
      </c>
      <c r="Z3" s="110">
        <f t="shared" si="1"/>
        <v>302.71353687244806</v>
      </c>
      <c r="AA3" s="110">
        <f t="shared" si="1"/>
        <v>314.82207834734601</v>
      </c>
      <c r="AB3" s="110">
        <f t="shared" si="1"/>
        <v>327.41496148123986</v>
      </c>
      <c r="AC3" s="110">
        <f t="shared" si="1"/>
        <v>340.51155994048946</v>
      </c>
      <c r="AD3" s="110">
        <f t="shared" si="1"/>
        <v>354.13202233810904</v>
      </c>
      <c r="AE3" s="110">
        <f t="shared" si="1"/>
        <v>368.29730323163341</v>
      </c>
      <c r="AF3" s="110">
        <f t="shared" si="1"/>
        <v>383.02919536089877</v>
      </c>
      <c r="AG3" s="110">
        <f t="shared" si="1"/>
        <v>398.35036317533473</v>
      </c>
      <c r="AH3" s="110">
        <f t="shared" si="1"/>
        <v>414.28437770234814</v>
      </c>
      <c r="AI3" s="110">
        <f t="shared" si="1"/>
        <v>430.85575281044208</v>
      </c>
      <c r="AJ3" s="110">
        <f t="shared" si="1"/>
        <v>448.0899829228598</v>
      </c>
      <c r="AK3" s="110">
        <f t="shared" si="1"/>
        <v>466.01358223977422</v>
      </c>
      <c r="AL3" s="110">
        <f t="shared" si="1"/>
        <v>484.65412552936522</v>
      </c>
    </row>
    <row r="4" spans="1:96" x14ac:dyDescent="0.2">
      <c r="A4" s="11"/>
      <c r="B4" s="1" t="s">
        <v>34</v>
      </c>
      <c r="E4" s="32"/>
      <c r="F4" s="23">
        <v>9.4740000000000002</v>
      </c>
      <c r="G4" s="32">
        <f t="shared" si="0"/>
        <v>9.0680000000000014</v>
      </c>
      <c r="H4" s="28">
        <v>9.9760000000000009</v>
      </c>
      <c r="I4" s="32">
        <f>T4-H4</f>
        <v>1.5669999999999984</v>
      </c>
      <c r="J4" s="23">
        <v>1.1919999999999999</v>
      </c>
      <c r="K4" s="32">
        <f>U4-J4</f>
        <v>9.0649999999999995</v>
      </c>
      <c r="L4" s="23">
        <v>13.641</v>
      </c>
      <c r="M4" s="45">
        <f>V4-L4</f>
        <v>22.585512000000008</v>
      </c>
      <c r="P4" s="23">
        <v>15.375999999999999</v>
      </c>
      <c r="Q4" s="23">
        <v>15.349</v>
      </c>
      <c r="R4" s="23">
        <v>16.748000000000001</v>
      </c>
      <c r="S4" s="23">
        <v>18.542000000000002</v>
      </c>
      <c r="T4" s="23">
        <v>11.542999999999999</v>
      </c>
      <c r="U4" s="23">
        <v>10.257</v>
      </c>
      <c r="V4" s="45">
        <f>V3*0.14</f>
        <v>36.226512000000007</v>
      </c>
      <c r="W4" s="52">
        <f>W3*0.14</f>
        <v>37.675572480000007</v>
      </c>
      <c r="X4" s="52">
        <f t="shared" ref="X4:AL4" si="2">X3*0.14</f>
        <v>39.182595379200009</v>
      </c>
      <c r="Y4" s="52">
        <f t="shared" si="2"/>
        <v>40.749899194368012</v>
      </c>
      <c r="Z4" s="52">
        <f t="shared" si="2"/>
        <v>42.379895162142731</v>
      </c>
      <c r="AA4" s="52">
        <f t="shared" si="2"/>
        <v>44.075090968628444</v>
      </c>
      <c r="AB4" s="52">
        <f t="shared" si="2"/>
        <v>45.838094607373584</v>
      </c>
      <c r="AC4" s="52">
        <f t="shared" si="2"/>
        <v>47.671618391668531</v>
      </c>
      <c r="AD4" s="52">
        <f t="shared" si="2"/>
        <v>49.578483127335268</v>
      </c>
      <c r="AE4" s="52">
        <f t="shared" si="2"/>
        <v>51.561622452428679</v>
      </c>
      <c r="AF4" s="52">
        <f t="shared" si="2"/>
        <v>53.624087350525834</v>
      </c>
      <c r="AG4" s="52">
        <f t="shared" si="2"/>
        <v>55.769050844546868</v>
      </c>
      <c r="AH4" s="52">
        <f t="shared" si="2"/>
        <v>57.999812878328747</v>
      </c>
      <c r="AI4" s="52">
        <f t="shared" si="2"/>
        <v>60.319805393461898</v>
      </c>
      <c r="AJ4" s="52">
        <f t="shared" si="2"/>
        <v>62.732597609200376</v>
      </c>
      <c r="AK4" s="52">
        <f t="shared" si="2"/>
        <v>65.241901513568394</v>
      </c>
      <c r="AL4" s="52">
        <f t="shared" si="2"/>
        <v>67.851577574111133</v>
      </c>
    </row>
    <row r="5" spans="1:96" s="3" customFormat="1" x14ac:dyDescent="0.2">
      <c r="A5" s="11"/>
      <c r="B5" s="3" t="s">
        <v>35</v>
      </c>
      <c r="E5" s="31"/>
      <c r="F5" s="12">
        <f>F3-F4</f>
        <v>57.515999999999991</v>
      </c>
      <c r="G5" s="31">
        <f t="shared" si="0"/>
        <v>53.836000000000013</v>
      </c>
      <c r="H5" s="37">
        <f t="shared" ref="H5:M5" si="3">H3-H4</f>
        <v>59.254000000000005</v>
      </c>
      <c r="I5" s="31">
        <f t="shared" si="3"/>
        <v>8.6759999999999966</v>
      </c>
      <c r="J5" s="12">
        <f t="shared" si="3"/>
        <v>9.2409999999999997</v>
      </c>
      <c r="K5" s="31">
        <f t="shared" si="3"/>
        <v>52.38</v>
      </c>
      <c r="L5" s="12">
        <f t="shared" si="3"/>
        <v>86.531999999999996</v>
      </c>
      <c r="M5" s="46">
        <f t="shared" si="3"/>
        <v>136.00228800000002</v>
      </c>
      <c r="P5" s="12">
        <f t="shared" ref="P5:W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46">
        <f t="shared" si="4"/>
        <v>222.534288</v>
      </c>
      <c r="W5" s="109">
        <f t="shared" si="4"/>
        <v>231.43565952000003</v>
      </c>
      <c r="X5" s="12">
        <f t="shared" ref="X5:AL5" si="5">X3-X4</f>
        <v>240.69308590080004</v>
      </c>
      <c r="Y5" s="12">
        <f t="shared" si="5"/>
        <v>250.32080933683204</v>
      </c>
      <c r="Z5" s="12">
        <f t="shared" si="5"/>
        <v>260.3336417103053</v>
      </c>
      <c r="AA5" s="12">
        <f t="shared" si="5"/>
        <v>270.74698737871756</v>
      </c>
      <c r="AB5" s="12">
        <f t="shared" si="5"/>
        <v>281.57686687386627</v>
      </c>
      <c r="AC5" s="12">
        <f t="shared" si="5"/>
        <v>292.83994154882095</v>
      </c>
      <c r="AD5" s="12">
        <f t="shared" si="5"/>
        <v>304.55353921077375</v>
      </c>
      <c r="AE5" s="12">
        <f t="shared" si="5"/>
        <v>316.7356807792047</v>
      </c>
      <c r="AF5" s="12">
        <f t="shared" si="5"/>
        <v>329.40510801037294</v>
      </c>
      <c r="AG5" s="12">
        <f t="shared" si="5"/>
        <v>342.58131233078785</v>
      </c>
      <c r="AH5" s="12">
        <f t="shared" si="5"/>
        <v>356.28456482401941</v>
      </c>
      <c r="AI5" s="12">
        <f t="shared" si="5"/>
        <v>370.53594741698021</v>
      </c>
      <c r="AJ5" s="12">
        <f t="shared" si="5"/>
        <v>385.35738531365945</v>
      </c>
      <c r="AK5" s="12">
        <f t="shared" si="5"/>
        <v>400.77168072620583</v>
      </c>
      <c r="AL5" s="12">
        <f t="shared" si="5"/>
        <v>416.80254795525411</v>
      </c>
    </row>
    <row r="6" spans="1:96" x14ac:dyDescent="0.2">
      <c r="A6" s="12"/>
      <c r="B6" s="1" t="s">
        <v>36</v>
      </c>
      <c r="E6" s="32"/>
      <c r="F6" s="23">
        <v>0</v>
      </c>
      <c r="G6" s="32">
        <f t="shared" si="0"/>
        <v>0</v>
      </c>
      <c r="H6" s="28">
        <v>0</v>
      </c>
      <c r="I6" s="32">
        <f>T6-H6</f>
        <v>0</v>
      </c>
      <c r="J6" s="23">
        <v>1.5940000000000001</v>
      </c>
      <c r="K6" s="32">
        <f>U6-J6</f>
        <v>1.22</v>
      </c>
      <c r="L6" s="23">
        <v>0</v>
      </c>
      <c r="M6" s="45">
        <f t="shared" ref="M6:M11" si="6">V6-L6</f>
        <v>0.4</v>
      </c>
      <c r="P6" s="23">
        <v>1.395</v>
      </c>
      <c r="Q6" s="23">
        <v>0.08</v>
      </c>
      <c r="R6" s="23">
        <v>0</v>
      </c>
      <c r="S6" s="23">
        <v>0</v>
      </c>
      <c r="T6" s="23">
        <v>0</v>
      </c>
      <c r="U6" s="23">
        <v>2.8140000000000001</v>
      </c>
      <c r="V6" s="47">
        <v>0.4</v>
      </c>
      <c r="W6" s="111">
        <v>0.1</v>
      </c>
      <c r="X6" s="1">
        <v>1.3</v>
      </c>
      <c r="Y6" s="1">
        <v>2.2999999999999998</v>
      </c>
      <c r="Z6" s="1">
        <v>3.3</v>
      </c>
      <c r="AA6" s="1">
        <v>4.3</v>
      </c>
      <c r="AB6" s="1">
        <v>5.3</v>
      </c>
      <c r="AC6" s="1">
        <v>6.3</v>
      </c>
      <c r="AD6" s="1">
        <v>7.3</v>
      </c>
      <c r="AE6" s="1">
        <v>8.3000000000000007</v>
      </c>
      <c r="AF6" s="1">
        <v>9.3000000000000007</v>
      </c>
      <c r="AG6" s="1">
        <v>10.3</v>
      </c>
      <c r="AH6" s="1">
        <v>11.3</v>
      </c>
      <c r="AI6" s="1">
        <v>12.3</v>
      </c>
      <c r="AJ6" s="1">
        <v>13.3</v>
      </c>
      <c r="AK6" s="1">
        <v>14.3</v>
      </c>
      <c r="AL6" s="1">
        <v>15.3</v>
      </c>
    </row>
    <row r="7" spans="1:96" x14ac:dyDescent="0.2">
      <c r="B7" s="1" t="s">
        <v>37</v>
      </c>
      <c r="E7" s="32"/>
      <c r="F7" s="23">
        <v>40.753</v>
      </c>
      <c r="G7" s="32">
        <f t="shared" si="0"/>
        <v>42.155000000000001</v>
      </c>
      <c r="H7" s="28">
        <v>40.078000000000003</v>
      </c>
      <c r="I7" s="32">
        <f>T7-H7</f>
        <v>17.991</v>
      </c>
      <c r="J7" s="23">
        <v>20.856999999999999</v>
      </c>
      <c r="K7" s="32">
        <f>U7-J7</f>
        <v>33.997999999999998</v>
      </c>
      <c r="L7" s="23">
        <v>48.915999999999997</v>
      </c>
      <c r="M7" s="45">
        <f t="shared" si="6"/>
        <v>84.6045728</v>
      </c>
      <c r="P7" s="23">
        <v>76.444000000000003</v>
      </c>
      <c r="Q7" s="23">
        <v>76.498000000000005</v>
      </c>
      <c r="R7" s="23">
        <v>78.908000000000001</v>
      </c>
      <c r="S7" s="23">
        <v>82.908000000000001</v>
      </c>
      <c r="T7" s="23">
        <v>58.069000000000003</v>
      </c>
      <c r="U7" s="23">
        <v>54.854999999999997</v>
      </c>
      <c r="V7" s="45">
        <f>V5*0.6</f>
        <v>133.5205728</v>
      </c>
      <c r="W7" s="52">
        <f>V7*1.025</f>
        <v>136.85858711999998</v>
      </c>
      <c r="X7" s="52">
        <f t="shared" ref="X7:AL7" si="7">W7*1.03</f>
        <v>140.96434473359997</v>
      </c>
      <c r="Y7" s="52">
        <f t="shared" si="7"/>
        <v>145.19327507560797</v>
      </c>
      <c r="Z7" s="52">
        <f t="shared" si="7"/>
        <v>149.54907332787621</v>
      </c>
      <c r="AA7" s="52">
        <f t="shared" si="7"/>
        <v>154.03554552771251</v>
      </c>
      <c r="AB7" s="52">
        <f t="shared" si="7"/>
        <v>158.6566118935439</v>
      </c>
      <c r="AC7" s="52">
        <f t="shared" si="7"/>
        <v>163.41631025035022</v>
      </c>
      <c r="AD7" s="52">
        <f t="shared" si="7"/>
        <v>168.31879955786073</v>
      </c>
      <c r="AE7" s="52">
        <f t="shared" si="7"/>
        <v>173.36836354459655</v>
      </c>
      <c r="AF7" s="52">
        <f t="shared" si="7"/>
        <v>178.56941445093446</v>
      </c>
      <c r="AG7" s="52">
        <f t="shared" si="7"/>
        <v>183.92649688446249</v>
      </c>
      <c r="AH7" s="52">
        <f t="shared" si="7"/>
        <v>189.44429179099637</v>
      </c>
      <c r="AI7" s="52">
        <f t="shared" si="7"/>
        <v>195.12762054472628</v>
      </c>
      <c r="AJ7" s="52">
        <f t="shared" si="7"/>
        <v>200.98144916106807</v>
      </c>
      <c r="AK7" s="52">
        <f t="shared" si="7"/>
        <v>207.01089263590012</v>
      </c>
      <c r="AL7" s="52">
        <f t="shared" si="7"/>
        <v>213.22121941497713</v>
      </c>
    </row>
    <row r="8" spans="1:96" s="3" customFormat="1" x14ac:dyDescent="0.2">
      <c r="B8" s="3" t="s">
        <v>38</v>
      </c>
      <c r="E8" s="31"/>
      <c r="F8" s="12">
        <f>F5+F6-F7</f>
        <v>16.762999999999991</v>
      </c>
      <c r="G8" s="31">
        <f t="shared" si="0"/>
        <v>11.681000000000012</v>
      </c>
      <c r="H8" s="37">
        <f t="shared" ref="H8:M8" si="8">H5+H6-H7</f>
        <v>19.176000000000002</v>
      </c>
      <c r="I8" s="31">
        <f t="shared" si="8"/>
        <v>-9.3150000000000031</v>
      </c>
      <c r="J8" s="12">
        <f t="shared" si="8"/>
        <v>-10.022</v>
      </c>
      <c r="K8" s="31">
        <f t="shared" si="8"/>
        <v>19.602000000000004</v>
      </c>
      <c r="L8" s="12">
        <f t="shared" si="8"/>
        <v>37.616</v>
      </c>
      <c r="M8" s="46">
        <f t="shared" si="8"/>
        <v>51.797715200000027</v>
      </c>
      <c r="P8" s="12">
        <f t="shared" ref="P8:U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46">
        <f>V5+V6-V7</f>
        <v>89.413715200000013</v>
      </c>
      <c r="W8" s="12">
        <f>W5+W6-W7</f>
        <v>94.677072400000043</v>
      </c>
      <c r="X8" s="12">
        <f t="shared" ref="X8:AL8" si="10">X5+X6-X7</f>
        <v>101.02874116720008</v>
      </c>
      <c r="Y8" s="12">
        <f t="shared" si="10"/>
        <v>107.42753426122408</v>
      </c>
      <c r="Z8" s="12">
        <f t="shared" si="10"/>
        <v>114.0845683824291</v>
      </c>
      <c r="AA8" s="12">
        <f t="shared" si="10"/>
        <v>121.01144185100506</v>
      </c>
      <c r="AB8" s="12">
        <f t="shared" si="10"/>
        <v>128.22025498032238</v>
      </c>
      <c r="AC8" s="12">
        <f t="shared" si="10"/>
        <v>135.72363129847074</v>
      </c>
      <c r="AD8" s="12">
        <f t="shared" si="10"/>
        <v>143.53473965291303</v>
      </c>
      <c r="AE8" s="12">
        <f t="shared" si="10"/>
        <v>151.66731723460816</v>
      </c>
      <c r="AF8" s="12">
        <f t="shared" si="10"/>
        <v>160.13569355943849</v>
      </c>
      <c r="AG8" s="12">
        <f t="shared" si="10"/>
        <v>168.95481544632537</v>
      </c>
      <c r="AH8" s="12">
        <f t="shared" si="10"/>
        <v>178.14027303302305</v>
      </c>
      <c r="AI8" s="12">
        <f t="shared" si="10"/>
        <v>187.70832687225393</v>
      </c>
      <c r="AJ8" s="12">
        <f t="shared" si="10"/>
        <v>197.67593615259139</v>
      </c>
      <c r="AK8" s="12">
        <f t="shared" si="10"/>
        <v>208.06078809030572</v>
      </c>
      <c r="AL8" s="12">
        <f t="shared" si="10"/>
        <v>218.881328540277</v>
      </c>
    </row>
    <row r="9" spans="1:96" x14ac:dyDescent="0.2">
      <c r="B9" s="1" t="s">
        <v>39</v>
      </c>
      <c r="E9" s="32"/>
      <c r="F9" s="23">
        <f>0.482-0.104</f>
        <v>0.378</v>
      </c>
      <c r="G9" s="32">
        <f t="shared" si="0"/>
        <v>0.47799999999999987</v>
      </c>
      <c r="H9" s="28">
        <f>4.773-0.065</f>
        <v>4.7079999999999993</v>
      </c>
      <c r="I9" s="32">
        <f>T9-H9</f>
        <v>3.9570000000000016</v>
      </c>
      <c r="J9" s="23">
        <v>4.4669999999999996</v>
      </c>
      <c r="K9" s="32">
        <f>U9-J9</f>
        <v>4.6510000000000007</v>
      </c>
      <c r="L9" s="23">
        <v>4.1790000000000003</v>
      </c>
      <c r="M9" s="45">
        <f t="shared" si="6"/>
        <v>-1.0790000000000002</v>
      </c>
      <c r="P9" s="23">
        <f>-0.022+11.905-0.079</f>
        <v>11.803999999999998</v>
      </c>
      <c r="Q9" s="23">
        <f>1.158-0.012+0.055</f>
        <v>1.2009999999999998</v>
      </c>
      <c r="R9" s="23">
        <f>0.976-0.018</f>
        <v>0.95799999999999996</v>
      </c>
      <c r="S9" s="23">
        <f>1.023-0.167</f>
        <v>0.85599999999999987</v>
      </c>
      <c r="T9" s="23">
        <f>8.743-0.078</f>
        <v>8.6650000000000009</v>
      </c>
      <c r="U9" s="23">
        <v>9.1180000000000003</v>
      </c>
      <c r="V9" s="45">
        <v>3.1</v>
      </c>
      <c r="W9" s="111">
        <v>1.9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40</v>
      </c>
      <c r="E10" s="32"/>
      <c r="F10" s="23">
        <f>F8-F9</f>
        <v>16.384999999999991</v>
      </c>
      <c r="G10" s="32">
        <f t="shared" si="0"/>
        <v>11.20300000000001</v>
      </c>
      <c r="H10" s="28">
        <f t="shared" ref="H10:M10" si="11">H8-H9</f>
        <v>14.468000000000004</v>
      </c>
      <c r="I10" s="32">
        <f t="shared" si="11"/>
        <v>-13.272000000000006</v>
      </c>
      <c r="J10" s="23">
        <f t="shared" si="11"/>
        <v>-14.489000000000001</v>
      </c>
      <c r="K10" s="32">
        <f t="shared" si="11"/>
        <v>14.951000000000004</v>
      </c>
      <c r="L10" s="23">
        <f t="shared" si="11"/>
        <v>33.436999999999998</v>
      </c>
      <c r="M10" s="51">
        <f t="shared" si="11"/>
        <v>52.876715200000028</v>
      </c>
      <c r="P10" s="23">
        <f t="shared" ref="P10:W10" si="12">P8-P9</f>
        <v>2.5739999999999874</v>
      </c>
      <c r="Q10" s="23">
        <f t="shared" si="12"/>
        <v>20.999999999999993</v>
      </c>
      <c r="R10" s="23">
        <f t="shared" si="12"/>
        <v>23.933999999999997</v>
      </c>
      <c r="S10" s="23">
        <f t="shared" si="12"/>
        <v>27.588000000000001</v>
      </c>
      <c r="T10" s="23">
        <f t="shared" si="12"/>
        <v>1.1960000000000033</v>
      </c>
      <c r="U10" s="23">
        <f t="shared" si="12"/>
        <v>0.46200000000000507</v>
      </c>
      <c r="V10" s="51">
        <f t="shared" si="12"/>
        <v>86.313715200000019</v>
      </c>
      <c r="W10" s="112">
        <f t="shared" si="12"/>
        <v>92.777072400000037</v>
      </c>
      <c r="X10" s="23">
        <f t="shared" ref="X10:AL10" si="13">X8-X9</f>
        <v>98.128741167200076</v>
      </c>
      <c r="Y10" s="23">
        <f t="shared" si="13"/>
        <v>103.52753426122408</v>
      </c>
      <c r="Z10" s="23">
        <f t="shared" si="13"/>
        <v>109.18456838242909</v>
      </c>
      <c r="AA10" s="23">
        <f t="shared" si="13"/>
        <v>115.11144185100505</v>
      </c>
      <c r="AB10" s="23">
        <f t="shared" si="13"/>
        <v>121.32025498032237</v>
      </c>
      <c r="AC10" s="23">
        <f t="shared" si="13"/>
        <v>127.82363129847073</v>
      </c>
      <c r="AD10" s="23">
        <f t="shared" si="13"/>
        <v>134.63473965291303</v>
      </c>
      <c r="AE10" s="23">
        <f t="shared" si="13"/>
        <v>141.76731723460816</v>
      </c>
      <c r="AF10" s="23">
        <f t="shared" si="13"/>
        <v>149.23569355943849</v>
      </c>
      <c r="AG10" s="23">
        <f t="shared" si="13"/>
        <v>157.05481544632536</v>
      </c>
      <c r="AH10" s="23">
        <f t="shared" si="13"/>
        <v>165.24027303302304</v>
      </c>
      <c r="AI10" s="23">
        <f t="shared" si="13"/>
        <v>173.80832687225393</v>
      </c>
      <c r="AJ10" s="23">
        <f t="shared" si="13"/>
        <v>182.77593615259138</v>
      </c>
      <c r="AK10" s="23">
        <f t="shared" si="13"/>
        <v>192.16078809030572</v>
      </c>
      <c r="AL10" s="23">
        <f t="shared" si="13"/>
        <v>201.98132854027699</v>
      </c>
    </row>
    <row r="11" spans="1:96" x14ac:dyDescent="0.2">
      <c r="B11" s="1" t="s">
        <v>41</v>
      </c>
      <c r="E11" s="32"/>
      <c r="F11" s="23">
        <v>3.01</v>
      </c>
      <c r="G11" s="32">
        <f t="shared" si="0"/>
        <v>2.2930000000000001</v>
      </c>
      <c r="H11" s="28">
        <v>2.948</v>
      </c>
      <c r="I11" s="32">
        <f>T11-H11</f>
        <v>-3.137</v>
      </c>
      <c r="J11" s="23">
        <v>-2.8559999999999999</v>
      </c>
      <c r="K11" s="32">
        <f>U11-J11</f>
        <v>1.5899999999999999</v>
      </c>
      <c r="L11" s="23">
        <v>6.4119999999999999</v>
      </c>
      <c r="M11" s="45">
        <f t="shared" si="6"/>
        <v>3.9384320000000015</v>
      </c>
      <c r="P11" s="23">
        <v>1.387</v>
      </c>
      <c r="Q11" s="23">
        <v>2.8479999999999999</v>
      </c>
      <c r="R11" s="23">
        <v>5.15</v>
      </c>
      <c r="S11" s="23">
        <v>5.3029999999999999</v>
      </c>
      <c r="T11" s="23">
        <v>-0.189</v>
      </c>
      <c r="U11" s="23">
        <v>-1.266</v>
      </c>
      <c r="V11" s="45">
        <f>V3*4%</f>
        <v>10.350432000000001</v>
      </c>
      <c r="W11" s="52">
        <f>W3*4%</f>
        <v>10.764449280000001</v>
      </c>
      <c r="X11" s="52">
        <f t="shared" ref="X11:AL11" si="14">X3*4%</f>
        <v>11.195027251200001</v>
      </c>
      <c r="Y11" s="52">
        <f t="shared" si="14"/>
        <v>11.642828341248004</v>
      </c>
      <c r="Z11" s="52">
        <f t="shared" si="14"/>
        <v>12.108541474897923</v>
      </c>
      <c r="AA11" s="52">
        <f t="shared" si="14"/>
        <v>12.592883133893841</v>
      </c>
      <c r="AB11" s="52">
        <f t="shared" si="14"/>
        <v>13.096598459249595</v>
      </c>
      <c r="AC11" s="52">
        <f t="shared" si="14"/>
        <v>13.620462397619578</v>
      </c>
      <c r="AD11" s="52">
        <f t="shared" si="14"/>
        <v>14.165280893524361</v>
      </c>
      <c r="AE11" s="52">
        <f t="shared" si="14"/>
        <v>14.731892129265336</v>
      </c>
      <c r="AF11" s="52">
        <f t="shared" si="14"/>
        <v>15.321167814435951</v>
      </c>
      <c r="AG11" s="52">
        <f t="shared" si="14"/>
        <v>15.934014527013391</v>
      </c>
      <c r="AH11" s="52">
        <f t="shared" si="14"/>
        <v>16.571375108093925</v>
      </c>
      <c r="AI11" s="52">
        <f t="shared" si="14"/>
        <v>17.234230112417684</v>
      </c>
      <c r="AJ11" s="52">
        <f t="shared" si="14"/>
        <v>17.923599316914391</v>
      </c>
      <c r="AK11" s="52">
        <f t="shared" si="14"/>
        <v>18.640543289590969</v>
      </c>
      <c r="AL11" s="52">
        <f t="shared" si="14"/>
        <v>19.386165021174609</v>
      </c>
    </row>
    <row r="12" spans="1:96" s="3" customFormat="1" x14ac:dyDescent="0.2">
      <c r="B12" s="3" t="s">
        <v>42</v>
      </c>
      <c r="E12" s="31"/>
      <c r="F12" s="12">
        <f>F10-F11</f>
        <v>13.374999999999991</v>
      </c>
      <c r="G12" s="31">
        <f t="shared" si="0"/>
        <v>8.910000000000009</v>
      </c>
      <c r="H12" s="37">
        <f t="shared" ref="H12:M12" si="15">H10-H11</f>
        <v>11.520000000000003</v>
      </c>
      <c r="I12" s="31">
        <f t="shared" si="15"/>
        <v>-10.135000000000005</v>
      </c>
      <c r="J12" s="12">
        <f t="shared" si="15"/>
        <v>-11.633000000000001</v>
      </c>
      <c r="K12" s="31">
        <f t="shared" si="15"/>
        <v>13.361000000000004</v>
      </c>
      <c r="L12" s="12">
        <f t="shared" si="15"/>
        <v>27.024999999999999</v>
      </c>
      <c r="M12" s="46">
        <f t="shared" si="15"/>
        <v>48.938283200000029</v>
      </c>
      <c r="O12" s="115"/>
      <c r="P12" s="12">
        <f t="shared" ref="P12:W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46">
        <f t="shared" si="16"/>
        <v>75.963283200000021</v>
      </c>
      <c r="W12" s="109">
        <f t="shared" si="16"/>
        <v>82.012623120000029</v>
      </c>
      <c r="X12" s="12">
        <f t="shared" ref="X12:AL12" si="17">X10-X11</f>
        <v>86.933713916000073</v>
      </c>
      <c r="Y12" s="12">
        <f t="shared" si="17"/>
        <v>91.884705919976071</v>
      </c>
      <c r="Z12" s="12">
        <f t="shared" si="17"/>
        <v>97.076026907531173</v>
      </c>
      <c r="AA12" s="12">
        <f t="shared" si="17"/>
        <v>102.51855871711122</v>
      </c>
      <c r="AB12" s="12">
        <f t="shared" si="17"/>
        <v>108.22365652107278</v>
      </c>
      <c r="AC12" s="12">
        <f t="shared" si="17"/>
        <v>114.20316890085115</v>
      </c>
      <c r="AD12" s="12">
        <f t="shared" si="17"/>
        <v>120.46945875938866</v>
      </c>
      <c r="AE12" s="12">
        <f t="shared" si="17"/>
        <v>127.03542510534282</v>
      </c>
      <c r="AF12" s="12">
        <f t="shared" si="17"/>
        <v>133.91452574500255</v>
      </c>
      <c r="AG12" s="12">
        <f t="shared" si="17"/>
        <v>141.12080091931196</v>
      </c>
      <c r="AH12" s="12">
        <f t="shared" si="17"/>
        <v>148.66889792492913</v>
      </c>
      <c r="AI12" s="12">
        <f t="shared" si="17"/>
        <v>156.57409675983624</v>
      </c>
      <c r="AJ12" s="12">
        <f t="shared" si="17"/>
        <v>164.85233683567699</v>
      </c>
      <c r="AK12" s="12">
        <f t="shared" si="17"/>
        <v>173.52024480071475</v>
      </c>
      <c r="AL12" s="12">
        <f t="shared" si="17"/>
        <v>182.59516351910239</v>
      </c>
      <c r="AM12" s="12">
        <f t="shared" ref="AM12:BR12" si="18">AL12*(1+$AO$15)</f>
        <v>184.4211151542934</v>
      </c>
      <c r="AN12" s="12">
        <f t="shared" si="18"/>
        <v>186.26532630583634</v>
      </c>
      <c r="AO12" s="12">
        <f t="shared" si="18"/>
        <v>188.12797956889472</v>
      </c>
      <c r="AP12" s="12">
        <f t="shared" si="18"/>
        <v>190.00925936458367</v>
      </c>
      <c r="AQ12" s="12">
        <f t="shared" si="18"/>
        <v>191.90935195822951</v>
      </c>
      <c r="AR12" s="12">
        <f t="shared" si="18"/>
        <v>193.82844547781181</v>
      </c>
      <c r="AS12" s="12">
        <f t="shared" si="18"/>
        <v>195.76672993258993</v>
      </c>
      <c r="AT12" s="12">
        <f t="shared" si="18"/>
        <v>197.72439723191582</v>
      </c>
      <c r="AU12" s="12">
        <f t="shared" si="18"/>
        <v>199.70164120423499</v>
      </c>
      <c r="AV12" s="12">
        <f t="shared" si="18"/>
        <v>201.69865761627733</v>
      </c>
      <c r="AW12" s="12">
        <f t="shared" si="18"/>
        <v>203.7156441924401</v>
      </c>
      <c r="AX12" s="12">
        <f t="shared" si="18"/>
        <v>205.75280063436449</v>
      </c>
      <c r="AY12" s="12">
        <f t="shared" si="18"/>
        <v>207.81032864070815</v>
      </c>
      <c r="AZ12" s="12">
        <f t="shared" si="18"/>
        <v>209.88843192711522</v>
      </c>
      <c r="BA12" s="12">
        <f t="shared" si="18"/>
        <v>211.98731624638637</v>
      </c>
      <c r="BB12" s="12">
        <f t="shared" si="18"/>
        <v>214.10718940885025</v>
      </c>
      <c r="BC12" s="12">
        <f t="shared" si="18"/>
        <v>216.24826130293874</v>
      </c>
      <c r="BD12" s="12">
        <f t="shared" si="18"/>
        <v>218.41074391596814</v>
      </c>
      <c r="BE12" s="12">
        <f t="shared" si="18"/>
        <v>220.59485135512782</v>
      </c>
      <c r="BF12" s="12">
        <f t="shared" si="18"/>
        <v>222.80079986867909</v>
      </c>
      <c r="BG12" s="12">
        <f t="shared" si="18"/>
        <v>225.02880786736588</v>
      </c>
      <c r="BH12" s="12">
        <f t="shared" si="18"/>
        <v>227.27909594603955</v>
      </c>
      <c r="BI12" s="12">
        <f t="shared" si="18"/>
        <v>229.55188690549994</v>
      </c>
      <c r="BJ12" s="12">
        <f t="shared" si="18"/>
        <v>231.84740577455494</v>
      </c>
      <c r="BK12" s="12">
        <f t="shared" si="18"/>
        <v>234.1658798323005</v>
      </c>
      <c r="BL12" s="12">
        <f t="shared" si="18"/>
        <v>236.50753863062351</v>
      </c>
      <c r="BM12" s="12">
        <f t="shared" si="18"/>
        <v>238.87261401692976</v>
      </c>
      <c r="BN12" s="12">
        <f t="shared" si="18"/>
        <v>241.26134015709906</v>
      </c>
      <c r="BO12" s="12">
        <f t="shared" si="18"/>
        <v>243.67395355867004</v>
      </c>
      <c r="BP12" s="12">
        <f t="shared" si="18"/>
        <v>246.11069309425673</v>
      </c>
      <c r="BQ12" s="12">
        <f t="shared" si="18"/>
        <v>248.57180002519931</v>
      </c>
      <c r="BR12" s="12">
        <f t="shared" si="18"/>
        <v>251.05751802545132</v>
      </c>
      <c r="BS12" s="12">
        <f t="shared" ref="BS12:CR12" si="19">BR12*(1+$AO$15)</f>
        <v>253.56809320570582</v>
      </c>
      <c r="BT12" s="12">
        <f t="shared" si="19"/>
        <v>256.10377413776285</v>
      </c>
      <c r="BU12" s="12">
        <f t="shared" si="19"/>
        <v>258.66481187914047</v>
      </c>
      <c r="BV12" s="12">
        <f t="shared" si="19"/>
        <v>261.25145999793187</v>
      </c>
      <c r="BW12" s="12">
        <f t="shared" si="19"/>
        <v>263.86397459791118</v>
      </c>
      <c r="BX12" s="12">
        <f t="shared" si="19"/>
        <v>266.50261434389029</v>
      </c>
      <c r="BY12" s="12">
        <f t="shared" si="19"/>
        <v>269.16764048732921</v>
      </c>
      <c r="BZ12" s="12">
        <f t="shared" si="19"/>
        <v>271.85931689220251</v>
      </c>
      <c r="CA12" s="12">
        <f t="shared" si="19"/>
        <v>274.57791006112456</v>
      </c>
      <c r="CB12" s="12">
        <f t="shared" si="19"/>
        <v>277.32368916173579</v>
      </c>
      <c r="CC12" s="12">
        <f t="shared" si="19"/>
        <v>280.09692605335317</v>
      </c>
      <c r="CD12" s="12">
        <f t="shared" si="19"/>
        <v>282.89789531388669</v>
      </c>
      <c r="CE12" s="12">
        <f t="shared" si="19"/>
        <v>285.72687426702555</v>
      </c>
      <c r="CF12" s="12">
        <f t="shared" si="19"/>
        <v>288.58414300969582</v>
      </c>
      <c r="CG12" s="12">
        <f t="shared" si="19"/>
        <v>291.46998443979277</v>
      </c>
      <c r="CH12" s="12">
        <f t="shared" si="19"/>
        <v>294.38468428419071</v>
      </c>
      <c r="CI12" s="12">
        <f t="shared" si="19"/>
        <v>297.32853112703265</v>
      </c>
      <c r="CJ12" s="12">
        <f t="shared" si="19"/>
        <v>300.30181643830298</v>
      </c>
      <c r="CK12" s="12">
        <f t="shared" si="19"/>
        <v>303.30483460268601</v>
      </c>
      <c r="CL12" s="12">
        <f t="shared" si="19"/>
        <v>306.33788294871289</v>
      </c>
      <c r="CM12" s="12">
        <f t="shared" si="19"/>
        <v>309.40126177820002</v>
      </c>
      <c r="CN12" s="12">
        <f t="shared" si="19"/>
        <v>312.49527439598205</v>
      </c>
      <c r="CO12" s="12">
        <f t="shared" si="19"/>
        <v>315.62022713994185</v>
      </c>
      <c r="CP12" s="12">
        <f t="shared" si="19"/>
        <v>318.77642941134127</v>
      </c>
      <c r="CQ12" s="12">
        <f t="shared" si="19"/>
        <v>321.9641937054547</v>
      </c>
      <c r="CR12" s="12">
        <f t="shared" si="19"/>
        <v>325.18383564250928</v>
      </c>
    </row>
    <row r="13" spans="1:96" x14ac:dyDescent="0.2">
      <c r="B13" s="1" t="s">
        <v>43</v>
      </c>
      <c r="E13" s="34"/>
      <c r="F13" s="27">
        <f t="shared" ref="F13:M13" si="20">F12/F14</f>
        <v>8.8853291768992385E-2</v>
      </c>
      <c r="G13" s="34">
        <f t="shared" si="20"/>
        <v>5.9400000000000057E-2</v>
      </c>
      <c r="H13" s="27">
        <f t="shared" si="20"/>
        <v>7.6442866571663867E-2</v>
      </c>
      <c r="I13" s="34">
        <f t="shared" si="20"/>
        <v>-6.6068394484364051E-2</v>
      </c>
      <c r="J13" s="27">
        <f t="shared" si="20"/>
        <v>-7.3358228129837819E-2</v>
      </c>
      <c r="K13" s="34">
        <f t="shared" si="20"/>
        <v>8.116869753753031E-2</v>
      </c>
      <c r="L13" s="27">
        <f t="shared" si="20"/>
        <v>0.15819934224664817</v>
      </c>
      <c r="M13" s="50">
        <f t="shared" si="20"/>
        <v>0.29730235065240646</v>
      </c>
      <c r="N13" s="27"/>
      <c r="O13" s="27"/>
      <c r="P13" s="27">
        <f t="shared" ref="P13:AL13" si="21">P12/P14</f>
        <v>1.1214705682000902E-2</v>
      </c>
      <c r="Q13" s="27">
        <f t="shared" si="21"/>
        <v>0.12101333333333329</v>
      </c>
      <c r="R13" s="27">
        <f t="shared" si="21"/>
        <v>0.12522666666666665</v>
      </c>
      <c r="S13" s="27">
        <f t="shared" si="21"/>
        <v>0.14856666666666668</v>
      </c>
      <c r="T13" s="27">
        <f t="shared" si="21"/>
        <v>9.0285867154261852E-3</v>
      </c>
      <c r="U13" s="27">
        <f t="shared" si="21"/>
        <v>1.0497680513797826E-2</v>
      </c>
      <c r="V13" s="50">
        <f t="shared" si="21"/>
        <v>0.46148048484533777</v>
      </c>
      <c r="W13" s="52">
        <f t="shared" si="21"/>
        <v>0.49823050672006181</v>
      </c>
      <c r="X13" s="28">
        <f t="shared" si="21"/>
        <v>0.52812636259726053</v>
      </c>
      <c r="Y13" s="28">
        <f t="shared" si="21"/>
        <v>0.55820386970611902</v>
      </c>
      <c r="Z13" s="28">
        <f t="shared" si="21"/>
        <v>0.58974138658802111</v>
      </c>
      <c r="AA13" s="28">
        <f t="shared" si="21"/>
        <v>0.6228050209185495</v>
      </c>
      <c r="AB13" s="28">
        <f t="shared" si="21"/>
        <v>0.6574637558988492</v>
      </c>
      <c r="AC13" s="28">
        <f t="shared" si="21"/>
        <v>0.69378957221320803</v>
      </c>
      <c r="AD13" s="28">
        <f t="shared" si="21"/>
        <v>0.73185757507303328</v>
      </c>
      <c r="AE13" s="28">
        <f t="shared" si="21"/>
        <v>0.77174612655693087</v>
      </c>
      <c r="AF13" s="28">
        <f t="shared" si="21"/>
        <v>0.81353698346515424</v>
      </c>
      <c r="AG13" s="28">
        <f t="shared" si="21"/>
        <v>0.8573154409156245</v>
      </c>
      <c r="AH13" s="28">
        <f t="shared" si="21"/>
        <v>0.90317048191801041</v>
      </c>
      <c r="AI13" s="28">
        <f t="shared" si="21"/>
        <v>0.95119493317200432</v>
      </c>
      <c r="AJ13" s="28">
        <f t="shared" si="21"/>
        <v>1.0014856273460166</v>
      </c>
      <c r="AK13" s="28">
        <f t="shared" si="21"/>
        <v>1.0541435721029435</v>
      </c>
      <c r="AL13" s="28">
        <f t="shared" si="21"/>
        <v>1.1092741261505805</v>
      </c>
    </row>
    <row r="14" spans="1:96" ht="12.75" customHeight="1" x14ac:dyDescent="0.2">
      <c r="B14" s="1" t="s">
        <v>4</v>
      </c>
      <c r="E14" s="33"/>
      <c r="F14" s="28">
        <v>150.529032</v>
      </c>
      <c r="G14" s="33">
        <f>S14</f>
        <v>150</v>
      </c>
      <c r="H14" s="28">
        <v>150.700785</v>
      </c>
      <c r="I14" s="33">
        <f>T14</f>
        <v>153.40163899999999</v>
      </c>
      <c r="J14" s="28">
        <v>158.57798500000001</v>
      </c>
      <c r="K14" s="33">
        <f>U14</f>
        <v>164.60779099999999</v>
      </c>
      <c r="L14" s="28">
        <v>170.828776</v>
      </c>
      <c r="M14" s="45">
        <f>V14</f>
        <v>164.60779099999999</v>
      </c>
      <c r="P14" s="28">
        <v>105.84317</v>
      </c>
      <c r="Q14" s="1">
        <v>150</v>
      </c>
      <c r="R14" s="1">
        <v>150</v>
      </c>
      <c r="S14" s="1">
        <v>150</v>
      </c>
      <c r="T14" s="28">
        <v>153.40163899999999</v>
      </c>
      <c r="U14" s="28">
        <v>164.60779099999999</v>
      </c>
      <c r="V14" s="45">
        <f>U14</f>
        <v>164.60779099999999</v>
      </c>
      <c r="W14" s="52">
        <f>V14</f>
        <v>164.60779099999999</v>
      </c>
      <c r="X14" s="28">
        <f t="shared" ref="X14:AL14" si="22">W14</f>
        <v>164.60779099999999</v>
      </c>
      <c r="Y14" s="28">
        <f t="shared" si="22"/>
        <v>164.60779099999999</v>
      </c>
      <c r="Z14" s="28">
        <f t="shared" si="22"/>
        <v>164.60779099999999</v>
      </c>
      <c r="AA14" s="28">
        <f t="shared" si="22"/>
        <v>164.60779099999999</v>
      </c>
      <c r="AB14" s="28">
        <f t="shared" si="22"/>
        <v>164.60779099999999</v>
      </c>
      <c r="AC14" s="28">
        <f t="shared" si="22"/>
        <v>164.60779099999999</v>
      </c>
      <c r="AD14" s="28">
        <f t="shared" si="22"/>
        <v>164.60779099999999</v>
      </c>
      <c r="AE14" s="28">
        <f t="shared" si="22"/>
        <v>164.60779099999999</v>
      </c>
      <c r="AF14" s="28">
        <f t="shared" si="22"/>
        <v>164.60779099999999</v>
      </c>
      <c r="AG14" s="28">
        <f t="shared" si="22"/>
        <v>164.60779099999999</v>
      </c>
      <c r="AH14" s="28">
        <f t="shared" si="22"/>
        <v>164.60779099999999</v>
      </c>
      <c r="AI14" s="28">
        <f t="shared" si="22"/>
        <v>164.60779099999999</v>
      </c>
      <c r="AJ14" s="28">
        <f t="shared" si="22"/>
        <v>164.60779099999999</v>
      </c>
      <c r="AK14" s="28">
        <f t="shared" si="22"/>
        <v>164.60779099999999</v>
      </c>
      <c r="AL14" s="28">
        <f t="shared" si="22"/>
        <v>164.60779099999999</v>
      </c>
    </row>
    <row r="15" spans="1:96" ht="12.75" customHeight="1" x14ac:dyDescent="0.25">
      <c r="W15" s="111"/>
      <c r="AN15" s="53" t="s">
        <v>88</v>
      </c>
      <c r="AO15" s="77">
        <v>0.01</v>
      </c>
    </row>
    <row r="16" spans="1:96" ht="12.75" customHeight="1" x14ac:dyDescent="0.25">
      <c r="B16" s="1" t="s">
        <v>44</v>
      </c>
      <c r="E16" s="35"/>
      <c r="F16" s="24">
        <f t="shared" ref="F16:M16" si="23">F5/F3</f>
        <v>0.85857590685176888</v>
      </c>
      <c r="G16" s="35">
        <f t="shared" si="23"/>
        <v>0.8558438255118912</v>
      </c>
      <c r="H16" s="24">
        <f t="shared" si="23"/>
        <v>0.85590062111801246</v>
      </c>
      <c r="I16" s="35">
        <f t="shared" si="23"/>
        <v>0.84701747534901894</v>
      </c>
      <c r="J16" s="24">
        <f t="shared" si="23"/>
        <v>0.88574714847119718</v>
      </c>
      <c r="K16" s="35">
        <f t="shared" si="23"/>
        <v>0.85246968833916514</v>
      </c>
      <c r="L16" s="24">
        <f t="shared" si="23"/>
        <v>0.86382558174358359</v>
      </c>
      <c r="M16" s="48">
        <f t="shared" si="23"/>
        <v>0.857583546779765</v>
      </c>
      <c r="P16" s="24">
        <f t="shared" ref="P16:Q16" si="24">P5/P3</f>
        <v>0.85328664255794195</v>
      </c>
      <c r="Q16" s="24">
        <f t="shared" si="24"/>
        <v>0.86532184472834472</v>
      </c>
      <c r="R16" s="24">
        <f t="shared" ref="R16:S16" si="25">R5/R3</f>
        <v>0.8610677904237316</v>
      </c>
      <c r="S16" s="24">
        <f t="shared" si="25"/>
        <v>0.85725283692857257</v>
      </c>
      <c r="T16" s="24">
        <f>T5/T3</f>
        <v>0.85475570319479577</v>
      </c>
      <c r="U16" s="24">
        <f>U5/U3</f>
        <v>0.85729986922284984</v>
      </c>
      <c r="V16" s="48">
        <f>V5/V3</f>
        <v>0.86</v>
      </c>
      <c r="W16" s="113">
        <f>W5/W3</f>
        <v>0.86</v>
      </c>
      <c r="X16" s="24">
        <f t="shared" ref="X16:AL16" si="26">X5/X3</f>
        <v>0.86</v>
      </c>
      <c r="Y16" s="24">
        <f t="shared" si="26"/>
        <v>0.86</v>
      </c>
      <c r="Z16" s="24">
        <f t="shared" si="26"/>
        <v>0.85999999999999988</v>
      </c>
      <c r="AA16" s="24">
        <f t="shared" si="26"/>
        <v>0.86</v>
      </c>
      <c r="AB16" s="24">
        <f t="shared" si="26"/>
        <v>0.86</v>
      </c>
      <c r="AC16" s="24">
        <f t="shared" si="26"/>
        <v>0.86</v>
      </c>
      <c r="AD16" s="24">
        <f t="shared" si="26"/>
        <v>0.86</v>
      </c>
      <c r="AE16" s="24">
        <f t="shared" si="26"/>
        <v>0.85999999999999988</v>
      </c>
      <c r="AF16" s="24">
        <f t="shared" si="26"/>
        <v>0.86</v>
      </c>
      <c r="AG16" s="24">
        <f t="shared" si="26"/>
        <v>0.86</v>
      </c>
      <c r="AH16" s="24">
        <f t="shared" si="26"/>
        <v>0.86</v>
      </c>
      <c r="AI16" s="24">
        <f t="shared" si="26"/>
        <v>0.86</v>
      </c>
      <c r="AJ16" s="24">
        <f t="shared" si="26"/>
        <v>0.86</v>
      </c>
      <c r="AK16" s="24">
        <f t="shared" si="26"/>
        <v>0.86</v>
      </c>
      <c r="AL16" s="24">
        <f t="shared" si="26"/>
        <v>0.8600000000000001</v>
      </c>
      <c r="AN16" s="54" t="s">
        <v>89</v>
      </c>
      <c r="AO16" s="78">
        <v>0.1</v>
      </c>
    </row>
    <row r="17" spans="1:42" ht="12.75" customHeight="1" x14ac:dyDescent="0.25">
      <c r="B17" s="1" t="s">
        <v>45</v>
      </c>
      <c r="E17" s="35"/>
      <c r="F17" s="24">
        <f t="shared" ref="F17:M17" si="27">F8/F3</f>
        <v>0.25023137781758459</v>
      </c>
      <c r="G17" s="35">
        <f t="shared" si="27"/>
        <v>0.18569566323286293</v>
      </c>
      <c r="H17" s="24">
        <f t="shared" si="27"/>
        <v>0.27698974433049256</v>
      </c>
      <c r="I17" s="35">
        <f t="shared" si="27"/>
        <v>-0.90940154251684147</v>
      </c>
      <c r="J17" s="24">
        <f t="shared" si="27"/>
        <v>-0.96060577015240112</v>
      </c>
      <c r="K17" s="35">
        <f t="shared" si="27"/>
        <v>0.31901700707950204</v>
      </c>
      <c r="L17" s="24">
        <f t="shared" si="27"/>
        <v>0.37551036706497759</v>
      </c>
      <c r="M17" s="48">
        <f t="shared" si="27"/>
        <v>0.32661853686096926</v>
      </c>
      <c r="P17" s="24">
        <f t="shared" ref="P17:Q17" si="28">P8/P3</f>
        <v>0.13719072927301687</v>
      </c>
      <c r="Q17" s="24">
        <f t="shared" si="28"/>
        <v>0.19480029481959843</v>
      </c>
      <c r="R17" s="24">
        <f t="shared" ref="R17:S17" si="29">R8/R3</f>
        <v>0.20649036068619966</v>
      </c>
      <c r="S17" s="24">
        <f t="shared" si="29"/>
        <v>0.2189785517421898</v>
      </c>
      <c r="T17" s="24">
        <f>T8/T3</f>
        <v>0.12407987618436456</v>
      </c>
      <c r="U17" s="62">
        <f>U8/U3</f>
        <v>0.13328139347227252</v>
      </c>
      <c r="V17" s="48">
        <f>V8/V3</f>
        <v>0.34554582919824023</v>
      </c>
      <c r="W17" s="113">
        <f>W8/W3</f>
        <v>0.35181390124957712</v>
      </c>
      <c r="X17" s="24">
        <f t="shared" ref="X17:AL17" si="30">X8/X3</f>
        <v>0.36097720496882491</v>
      </c>
      <c r="Y17" s="24">
        <f t="shared" si="30"/>
        <v>0.36907710433428531</v>
      </c>
      <c r="Z17" s="24">
        <f t="shared" si="30"/>
        <v>0.37687303171545972</v>
      </c>
      <c r="AA17" s="24">
        <f t="shared" si="30"/>
        <v>0.38438041730190237</v>
      </c>
      <c r="AB17" s="24">
        <f t="shared" si="30"/>
        <v>0.39161391525985323</v>
      </c>
      <c r="AC17" s="24">
        <f t="shared" si="30"/>
        <v>0.39858744097319598</v>
      </c>
      <c r="AD17" s="24">
        <f t="shared" si="30"/>
        <v>0.40531420656410627</v>
      </c>
      <c r="AE17" s="24">
        <f t="shared" si="30"/>
        <v>0.41180675477066953</v>
      </c>
      <c r="AF17" s="24">
        <f t="shared" si="30"/>
        <v>0.41807699125534026</v>
      </c>
      <c r="AG17" s="24">
        <f t="shared" si="30"/>
        <v>0.42413621541486973</v>
      </c>
      <c r="AH17" s="24">
        <f t="shared" si="30"/>
        <v>0.42999514975921177</v>
      </c>
      <c r="AI17" s="24">
        <f t="shared" si="30"/>
        <v>0.43566396792394108</v>
      </c>
      <c r="AJ17" s="24">
        <f t="shared" si="30"/>
        <v>0.44115232137787369</v>
      </c>
      <c r="AK17" s="24">
        <f t="shared" si="30"/>
        <v>0.44646936488484978</v>
      </c>
      <c r="AL17" s="24">
        <f t="shared" si="30"/>
        <v>0.45162378077603915</v>
      </c>
      <c r="AN17" s="54" t="s">
        <v>90</v>
      </c>
      <c r="AO17" s="79">
        <f>NPV(AO16,V12:CR12)</f>
        <v>1284.0246651178204</v>
      </c>
    </row>
    <row r="18" spans="1:42" ht="12.75" customHeight="1" x14ac:dyDescent="0.25">
      <c r="A18" s="3"/>
      <c r="B18" s="1" t="s">
        <v>46</v>
      </c>
      <c r="E18" s="35"/>
      <c r="F18" s="24">
        <f t="shared" ref="F18:M18" si="31">F12/F3</f>
        <v>0.19965666517390643</v>
      </c>
      <c r="G18" s="35">
        <f t="shared" si="31"/>
        <v>0.14164441053033205</v>
      </c>
      <c r="H18" s="24">
        <f t="shared" si="31"/>
        <v>0.16640184890943235</v>
      </c>
      <c r="I18" s="35">
        <f t="shared" si="31"/>
        <v>-0.98945621399980577</v>
      </c>
      <c r="J18" s="24">
        <f t="shared" si="31"/>
        <v>-1.1150196491900701</v>
      </c>
      <c r="K18" s="35">
        <f t="shared" si="31"/>
        <v>0.21744649686711701</v>
      </c>
      <c r="L18" s="24">
        <f t="shared" si="31"/>
        <v>0.26978327493436355</v>
      </c>
      <c r="M18" s="48">
        <f t="shared" si="31"/>
        <v>0.3085879443437643</v>
      </c>
      <c r="P18" s="24">
        <f t="shared" ref="P18:Q18" si="32">P12/P3</f>
        <v>1.1326011659971446E-2</v>
      </c>
      <c r="Q18" s="24">
        <f t="shared" si="32"/>
        <v>0.15927277832373993</v>
      </c>
      <c r="R18" s="24">
        <f t="shared" ref="R18:S18" si="33">R12/R3</f>
        <v>0.15582174735375118</v>
      </c>
      <c r="S18" s="24">
        <f t="shared" si="33"/>
        <v>0.17156296672671562</v>
      </c>
      <c r="T18" s="24">
        <f>T12/T3</f>
        <v>1.7427302354258722E-2</v>
      </c>
      <c r="U18" s="24">
        <f>U12/U3</f>
        <v>2.4040735691032097E-2</v>
      </c>
      <c r="V18" s="48">
        <f>V12/V3</f>
        <v>0.29356565291187853</v>
      </c>
      <c r="W18" s="113">
        <f>W12/W3</f>
        <v>0.30475362366146064</v>
      </c>
      <c r="X18" s="24">
        <f t="shared" ref="X18:AL18" si="34">X12/X3</f>
        <v>0.31061546154496977</v>
      </c>
      <c r="Y18" s="24">
        <f t="shared" si="34"/>
        <v>0.31567829818274856</v>
      </c>
      <c r="Z18" s="24">
        <f t="shared" si="34"/>
        <v>0.32068611106887934</v>
      </c>
      <c r="AA18" s="24">
        <f t="shared" si="34"/>
        <v>0.32563967322521004</v>
      </c>
      <c r="AB18" s="24">
        <f t="shared" si="34"/>
        <v>0.33053974085809684</v>
      </c>
      <c r="AC18" s="24">
        <f t="shared" si="34"/>
        <v>0.33538705388096141</v>
      </c>
      <c r="AD18" s="24">
        <f t="shared" si="34"/>
        <v>0.34018233641794171</v>
      </c>
      <c r="AE18" s="24">
        <f t="shared" si="34"/>
        <v>0.34492629728935692</v>
      </c>
      <c r="AF18" s="24">
        <f t="shared" si="34"/>
        <v>0.34961963047966943</v>
      </c>
      <c r="AG18" s="24">
        <f t="shared" si="34"/>
        <v>0.35426301558860973</v>
      </c>
      <c r="AH18" s="24">
        <f t="shared" si="34"/>
        <v>0.35885711826609984</v>
      </c>
      <c r="AI18" s="24">
        <f t="shared" si="34"/>
        <v>0.36340259063158448</v>
      </c>
      <c r="AJ18" s="24">
        <f t="shared" si="34"/>
        <v>0.36790007167836392</v>
      </c>
      <c r="AK18" s="24">
        <f t="shared" si="34"/>
        <v>0.3723501876634891</v>
      </c>
      <c r="AL18" s="24">
        <f t="shared" si="34"/>
        <v>0.37675355248376802</v>
      </c>
      <c r="AN18" s="54" t="s">
        <v>8</v>
      </c>
      <c r="AO18" s="79">
        <f>Main!C11</f>
        <v>49.6</v>
      </c>
    </row>
    <row r="19" spans="1:42" ht="12.75" customHeight="1" x14ac:dyDescent="0.25">
      <c r="B19" s="1" t="s">
        <v>139</v>
      </c>
      <c r="E19" s="35"/>
      <c r="F19" s="24">
        <f t="shared" ref="F19:M19" si="35">F11/F10</f>
        <v>0.1837046078730547</v>
      </c>
      <c r="G19" s="35">
        <f t="shared" si="35"/>
        <v>0.20467731857538143</v>
      </c>
      <c r="H19" s="24">
        <f t="shared" si="35"/>
        <v>0.20376002211777711</v>
      </c>
      <c r="I19" s="35">
        <f t="shared" si="35"/>
        <v>0.23636226642555747</v>
      </c>
      <c r="J19" s="24">
        <f t="shared" si="35"/>
        <v>0.19711505279867483</v>
      </c>
      <c r="K19" s="35">
        <f t="shared" si="35"/>
        <v>0.10634740151160453</v>
      </c>
      <c r="L19" s="24">
        <f t="shared" si="35"/>
        <v>0.19176361515686216</v>
      </c>
      <c r="M19" s="48">
        <f t="shared" si="35"/>
        <v>7.4483295437383745E-2</v>
      </c>
      <c r="P19" s="24">
        <f>P11/P10</f>
        <v>0.53885003885004146</v>
      </c>
      <c r="Q19" s="24">
        <f t="shared" ref="Q19:AL19" si="36">Q11/Q10</f>
        <v>0.13561904761904767</v>
      </c>
      <c r="R19" s="24">
        <f t="shared" si="36"/>
        <v>0.21517506476142731</v>
      </c>
      <c r="S19" s="24">
        <f t="shared" si="36"/>
        <v>0.1922212556183848</v>
      </c>
      <c r="T19" s="24">
        <f t="shared" si="36"/>
        <v>-0.15802675585284237</v>
      </c>
      <c r="U19" s="24">
        <f t="shared" si="36"/>
        <v>-2.7402597402597104</v>
      </c>
      <c r="V19" s="48">
        <f>V11/V10</f>
        <v>0.11991642320130369</v>
      </c>
      <c r="W19" s="24">
        <f t="shared" si="36"/>
        <v>0.11602488633818969</v>
      </c>
      <c r="X19" s="24">
        <f t="shared" si="36"/>
        <v>0.11408510002309072</v>
      </c>
      <c r="Y19" s="24">
        <f t="shared" si="36"/>
        <v>0.11246117686788944</v>
      </c>
      <c r="Z19" s="24">
        <f t="shared" si="36"/>
        <v>0.11089975125868183</v>
      </c>
      <c r="AA19" s="24">
        <f t="shared" si="36"/>
        <v>0.10939731907965751</v>
      </c>
      <c r="AB19" s="24">
        <f t="shared" si="36"/>
        <v>0.10795063414080203</v>
      </c>
      <c r="AC19" s="24">
        <f t="shared" si="36"/>
        <v>0.10655668485755601</v>
      </c>
      <c r="AD19" s="24">
        <f t="shared" si="36"/>
        <v>0.10521267341580866</v>
      </c>
      <c r="AE19" s="24">
        <f t="shared" si="36"/>
        <v>0.10391599711861511</v>
      </c>
      <c r="AF19" s="24">
        <f t="shared" si="36"/>
        <v>0.10266423165268933</v>
      </c>
      <c r="AG19" s="24">
        <f t="shared" si="36"/>
        <v>0.10145511604805875</v>
      </c>
      <c r="AH19" s="24">
        <f t="shared" si="36"/>
        <v>0.10028653913433172</v>
      </c>
      <c r="AI19" s="24">
        <f t="shared" si="36"/>
        <v>9.9156527322678517E-2</v>
      </c>
      <c r="AJ19" s="24">
        <f t="shared" si="36"/>
        <v>9.8063233564569391E-2</v>
      </c>
      <c r="AK19" s="24">
        <f t="shared" si="36"/>
        <v>9.7004927357140475E-2</v>
      </c>
      <c r="AL19" s="24">
        <f t="shared" si="36"/>
        <v>9.5979985681244911E-2</v>
      </c>
      <c r="AN19" s="54" t="s">
        <v>91</v>
      </c>
      <c r="AO19" s="79">
        <f>AO17+AO18</f>
        <v>1333.6246651178203</v>
      </c>
    </row>
    <row r="20" spans="1:42" ht="12.75" customHeight="1" x14ac:dyDescent="0.25">
      <c r="W20" s="111"/>
      <c r="AN20" s="55" t="s">
        <v>92</v>
      </c>
      <c r="AO20" s="80">
        <f>AO19/Main!C7</f>
        <v>7.7957833934519227</v>
      </c>
    </row>
    <row r="21" spans="1:42" ht="12.75" customHeight="1" x14ac:dyDescent="0.25">
      <c r="B21" s="1" t="s">
        <v>47</v>
      </c>
      <c r="E21" s="38"/>
      <c r="F21" s="39" t="s">
        <v>72</v>
      </c>
      <c r="G21" s="38" t="s">
        <v>72</v>
      </c>
      <c r="H21" s="24">
        <f t="shared" ref="H21:M21" si="37">H3/F3-1</f>
        <v>3.3437826541274918E-2</v>
      </c>
      <c r="I21" s="35">
        <f t="shared" si="37"/>
        <v>-0.8371645682309552</v>
      </c>
      <c r="J21" s="24">
        <f t="shared" si="37"/>
        <v>-0.84929943666040741</v>
      </c>
      <c r="K21" s="35">
        <f t="shared" si="37"/>
        <v>4.9987308405740531</v>
      </c>
      <c r="L21" s="24">
        <f t="shared" si="37"/>
        <v>8.6015527652640671</v>
      </c>
      <c r="M21" s="48">
        <f t="shared" si="37"/>
        <v>1.5809716006184393</v>
      </c>
      <c r="P21" s="39" t="s">
        <v>72</v>
      </c>
      <c r="Q21" s="24">
        <f t="shared" ref="Q21:T21" si="38">Q3/P3-1</f>
        <v>8.744978674274595E-2</v>
      </c>
      <c r="R21" s="24">
        <f t="shared" si="38"/>
        <v>5.7735504703074536E-2</v>
      </c>
      <c r="S21" s="24">
        <f t="shared" si="38"/>
        <v>7.7529282941235067E-2</v>
      </c>
      <c r="T21" s="24">
        <f t="shared" si="38"/>
        <v>-0.38817035428888169</v>
      </c>
      <c r="U21" s="24">
        <f>U3/T3-1</f>
        <v>-9.5567047928227233E-2</v>
      </c>
      <c r="V21" s="48">
        <f>V3/U3-1</f>
        <v>2.6</v>
      </c>
      <c r="W21" s="113">
        <f>W3/V3-1</f>
        <v>4.0000000000000036E-2</v>
      </c>
      <c r="X21" s="24">
        <f t="shared" ref="X21:AL21" si="39">X3/W3-1</f>
        <v>4.0000000000000036E-2</v>
      </c>
      <c r="Y21" s="24">
        <f t="shared" si="39"/>
        <v>4.0000000000000036E-2</v>
      </c>
      <c r="Z21" s="24">
        <f t="shared" si="39"/>
        <v>4.0000000000000036E-2</v>
      </c>
      <c r="AA21" s="24">
        <f t="shared" si="39"/>
        <v>4.0000000000000036E-2</v>
      </c>
      <c r="AB21" s="24">
        <f t="shared" si="39"/>
        <v>4.0000000000000036E-2</v>
      </c>
      <c r="AC21" s="24">
        <f t="shared" si="39"/>
        <v>4.0000000000000036E-2</v>
      </c>
      <c r="AD21" s="24">
        <f t="shared" si="39"/>
        <v>4.0000000000000036E-2</v>
      </c>
      <c r="AE21" s="24">
        <f t="shared" si="39"/>
        <v>4.0000000000000036E-2</v>
      </c>
      <c r="AF21" s="24">
        <f t="shared" si="39"/>
        <v>4.0000000000000036E-2</v>
      </c>
      <c r="AG21" s="24">
        <f t="shared" si="39"/>
        <v>4.0000000000000036E-2</v>
      </c>
      <c r="AH21" s="24">
        <f t="shared" si="39"/>
        <v>4.0000000000000036E-2</v>
      </c>
      <c r="AI21" s="24">
        <f t="shared" si="39"/>
        <v>4.0000000000000036E-2</v>
      </c>
      <c r="AJ21" s="24">
        <f t="shared" si="39"/>
        <v>4.0000000000000036E-2</v>
      </c>
      <c r="AK21" s="24">
        <f t="shared" si="39"/>
        <v>4.0000000000000036E-2</v>
      </c>
      <c r="AL21" s="24">
        <f t="shared" si="39"/>
        <v>4.0000000000000036E-2</v>
      </c>
      <c r="AN21" s="54" t="s">
        <v>93</v>
      </c>
      <c r="AO21" s="82">
        <f>Main!C6</f>
        <v>2.02</v>
      </c>
      <c r="AP21" s="57"/>
    </row>
    <row r="22" spans="1:42" ht="12.75" customHeight="1" x14ac:dyDescent="0.25">
      <c r="B22" s="1" t="s">
        <v>48</v>
      </c>
      <c r="E22" s="35"/>
      <c r="F22" s="39" t="s">
        <v>72</v>
      </c>
      <c r="G22" s="35">
        <f t="shared" ref="G22" si="40">G3/F3-1</f>
        <v>-6.0994178235557306E-2</v>
      </c>
      <c r="H22" s="24">
        <f t="shared" ref="H22:M22" si="41">H3/G3-1</f>
        <v>0.10056594175251155</v>
      </c>
      <c r="I22" s="35">
        <f t="shared" si="41"/>
        <v>-0.85204391159901782</v>
      </c>
      <c r="J22" s="24">
        <f t="shared" si="41"/>
        <v>1.8549253148492095E-2</v>
      </c>
      <c r="K22" s="35">
        <f t="shared" si="41"/>
        <v>4.8894852870698742</v>
      </c>
      <c r="L22" s="24">
        <f t="shared" si="41"/>
        <v>0.63028724875905273</v>
      </c>
      <c r="M22" s="48">
        <f t="shared" si="41"/>
        <v>0.58313916923721965</v>
      </c>
      <c r="P22" s="39" t="s">
        <v>72</v>
      </c>
      <c r="Q22" s="39" t="s">
        <v>72</v>
      </c>
      <c r="R22" s="39" t="s">
        <v>72</v>
      </c>
      <c r="S22" s="39" t="s">
        <v>72</v>
      </c>
      <c r="T22" s="39" t="s">
        <v>72</v>
      </c>
      <c r="U22" s="39" t="s">
        <v>72</v>
      </c>
      <c r="V22" s="49" t="s">
        <v>72</v>
      </c>
      <c r="W22" s="114" t="s">
        <v>72</v>
      </c>
      <c r="X22" s="39" t="s">
        <v>72</v>
      </c>
      <c r="Y22" s="39" t="s">
        <v>72</v>
      </c>
      <c r="Z22" s="39" t="s">
        <v>72</v>
      </c>
      <c r="AA22" s="39" t="s">
        <v>72</v>
      </c>
      <c r="AB22" s="39" t="s">
        <v>72</v>
      </c>
      <c r="AC22" s="39" t="s">
        <v>72</v>
      </c>
      <c r="AD22" s="39" t="s">
        <v>72</v>
      </c>
      <c r="AE22" s="39" t="s">
        <v>72</v>
      </c>
      <c r="AF22" s="39" t="s">
        <v>72</v>
      </c>
      <c r="AG22" s="39" t="s">
        <v>72</v>
      </c>
      <c r="AH22" s="39" t="s">
        <v>72</v>
      </c>
      <c r="AI22" s="39" t="s">
        <v>72</v>
      </c>
      <c r="AJ22" s="39" t="s">
        <v>72</v>
      </c>
      <c r="AK22" s="39" t="s">
        <v>72</v>
      </c>
      <c r="AL22" s="39" t="s">
        <v>72</v>
      </c>
      <c r="AN22" s="56" t="s">
        <v>94</v>
      </c>
      <c r="AO22" s="81">
        <f>AO20/AO21-1</f>
        <v>2.8592987096296647</v>
      </c>
    </row>
    <row r="23" spans="1:42" ht="12.75" customHeight="1" x14ac:dyDescent="0.2">
      <c r="E23" s="35"/>
      <c r="F23" s="39"/>
      <c r="G23" s="35"/>
      <c r="H23" s="24"/>
      <c r="I23" s="35"/>
      <c r="J23" s="24"/>
      <c r="K23" s="35"/>
      <c r="L23" s="24"/>
      <c r="M23" s="48"/>
      <c r="R23" s="39"/>
      <c r="S23" s="39"/>
      <c r="T23" s="39"/>
      <c r="U23" s="39"/>
      <c r="V23" s="4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42" ht="12.75" customHeight="1" x14ac:dyDescent="0.2">
      <c r="B24" s="30" t="s">
        <v>98</v>
      </c>
      <c r="E24" s="35"/>
      <c r="F24" s="39"/>
      <c r="G24" s="35"/>
      <c r="H24" s="24"/>
      <c r="I24" s="35"/>
      <c r="J24" s="24"/>
      <c r="K24" s="35"/>
      <c r="L24" s="24"/>
      <c r="M24" s="48"/>
      <c r="R24" s="39"/>
      <c r="S24" s="39"/>
      <c r="T24" s="39"/>
      <c r="U24" s="39"/>
      <c r="V24" s="4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42" s="3" customFormat="1" ht="12.75" customHeight="1" x14ac:dyDescent="0.2">
      <c r="B25" s="3" t="s">
        <v>112</v>
      </c>
      <c r="E25" s="65"/>
      <c r="F25" s="10"/>
      <c r="G25" s="65"/>
      <c r="H25" s="66"/>
      <c r="I25" s="65"/>
      <c r="J25" s="66"/>
      <c r="K25" s="65"/>
      <c r="L25" s="66"/>
      <c r="M25" s="67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4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63" t="s">
        <v>99</v>
      </c>
      <c r="E26" s="35"/>
      <c r="F26" s="39"/>
      <c r="G26" s="35"/>
      <c r="H26" s="24"/>
      <c r="I26" s="35"/>
      <c r="J26" s="24"/>
      <c r="K26" s="35"/>
      <c r="L26" s="24"/>
      <c r="M26" s="48"/>
      <c r="R26" s="39"/>
      <c r="S26" s="39">
        <v>54</v>
      </c>
      <c r="T26" s="39"/>
      <c r="U26" s="39">
        <v>56</v>
      </c>
      <c r="V26" s="4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2" ht="12.75" customHeight="1" x14ac:dyDescent="0.2">
      <c r="B27" s="63" t="s">
        <v>100</v>
      </c>
      <c r="S27" s="1">
        <v>6</v>
      </c>
      <c r="U27" s="1">
        <v>5</v>
      </c>
    </row>
    <row r="28" spans="1:42" ht="12.75" customHeight="1" x14ac:dyDescent="0.2">
      <c r="B28" s="63" t="s">
        <v>101</v>
      </c>
      <c r="C28" s="68"/>
      <c r="D28" s="68"/>
      <c r="E28" s="69"/>
      <c r="F28" s="68"/>
      <c r="G28" s="69"/>
      <c r="H28" s="68"/>
      <c r="I28" s="69"/>
      <c r="J28" s="68"/>
      <c r="K28" s="69"/>
      <c r="L28" s="68"/>
      <c r="M28" s="70"/>
      <c r="N28" s="68"/>
      <c r="O28" s="68"/>
      <c r="P28" s="68"/>
      <c r="Q28" s="68"/>
      <c r="R28" s="64"/>
      <c r="S28" s="64">
        <v>0</v>
      </c>
      <c r="T28" s="64"/>
      <c r="U28" s="64">
        <v>3</v>
      </c>
      <c r="V28" s="70"/>
      <c r="W28" s="68"/>
      <c r="X28" s="68"/>
      <c r="Y28" s="68"/>
      <c r="Z28" s="68"/>
      <c r="AA28" s="68"/>
      <c r="AB28" s="68"/>
      <c r="AC28" s="68"/>
      <c r="AD28" s="68"/>
    </row>
    <row r="29" spans="1:42" s="88" customFormat="1" ht="12.75" customHeight="1" x14ac:dyDescent="0.2">
      <c r="B29" s="89" t="s">
        <v>119</v>
      </c>
      <c r="C29" s="90"/>
      <c r="D29" s="90"/>
      <c r="E29" s="91"/>
      <c r="F29" s="90"/>
      <c r="G29" s="91"/>
      <c r="H29" s="90"/>
      <c r="I29" s="91"/>
      <c r="J29" s="90"/>
      <c r="K29" s="91"/>
      <c r="L29" s="90"/>
      <c r="M29" s="92"/>
      <c r="N29" s="90"/>
      <c r="O29" s="90" t="s">
        <v>111</v>
      </c>
      <c r="P29" s="98">
        <f>P3/P25</f>
        <v>1.9407962962962964</v>
      </c>
      <c r="Q29" s="98">
        <f t="shared" ref="Q29:U29" si="42">Q3/Q25</f>
        <v>1.9649655172413794</v>
      </c>
      <c r="R29" s="98"/>
      <c r="S29" s="98">
        <f t="shared" si="42"/>
        <v>2.1649000000000003</v>
      </c>
      <c r="T29" s="98"/>
      <c r="U29" s="98">
        <f t="shared" si="42"/>
        <v>1.12309375</v>
      </c>
      <c r="V29" s="92"/>
      <c r="W29" s="90"/>
      <c r="X29" s="90"/>
      <c r="Y29" s="90"/>
      <c r="Z29" s="90"/>
      <c r="AA29" s="90"/>
      <c r="AB29" s="90"/>
      <c r="AC29" s="90"/>
      <c r="AD29" s="90"/>
    </row>
    <row r="30" spans="1:42" s="3" customFormat="1" ht="12.75" customHeight="1" x14ac:dyDescent="0.2">
      <c r="B30" s="83" t="s">
        <v>117</v>
      </c>
      <c r="C30" s="84"/>
      <c r="D30" s="84"/>
      <c r="E30" s="85"/>
      <c r="F30" s="84"/>
      <c r="G30" s="85"/>
      <c r="H30" s="84"/>
      <c r="I30" s="85"/>
      <c r="J30" s="84"/>
      <c r="K30" s="85"/>
      <c r="L30" s="84"/>
      <c r="M30" s="86"/>
      <c r="N30" s="84"/>
      <c r="O30" s="84"/>
      <c r="P30" s="37">
        <v>12.1</v>
      </c>
      <c r="Q30" s="37">
        <v>13.1</v>
      </c>
      <c r="R30" s="87"/>
      <c r="S30" s="87"/>
      <c r="T30" s="87"/>
      <c r="U30" s="87"/>
      <c r="V30" s="86"/>
      <c r="W30" s="84"/>
      <c r="X30" s="84"/>
      <c r="Y30" s="84"/>
      <c r="Z30" s="84"/>
      <c r="AA30" s="84"/>
      <c r="AB30" s="84"/>
      <c r="AC30" s="84"/>
      <c r="AD30" s="84"/>
    </row>
    <row r="31" spans="1:42" s="93" customFormat="1" x14ac:dyDescent="0.2">
      <c r="B31" s="94" t="s">
        <v>118</v>
      </c>
      <c r="E31" s="95"/>
      <c r="G31" s="95"/>
      <c r="I31" s="95"/>
      <c r="K31" s="95"/>
      <c r="M31" s="96"/>
      <c r="P31" s="97">
        <f>P3/P30</f>
        <v>8.6614049586776858</v>
      </c>
      <c r="Q31" s="97">
        <f>Q3/Q30</f>
        <v>8.6998473282442745</v>
      </c>
      <c r="V31" s="96"/>
    </row>
    <row r="34" spans="1:22" x14ac:dyDescent="0.2">
      <c r="B34" s="30" t="s">
        <v>49</v>
      </c>
    </row>
    <row r="35" spans="1:22" x14ac:dyDescent="0.2">
      <c r="B35" s="1" t="s">
        <v>50</v>
      </c>
      <c r="H35" s="23">
        <v>48.180999999999997</v>
      </c>
      <c r="L35" s="23">
        <v>55.976999999999997</v>
      </c>
    </row>
    <row r="36" spans="1:22" x14ac:dyDescent="0.2">
      <c r="B36" s="1" t="s">
        <v>51</v>
      </c>
      <c r="H36" s="23">
        <v>147.39099999999999</v>
      </c>
      <c r="L36" s="23">
        <v>133.077</v>
      </c>
    </row>
    <row r="37" spans="1:22" x14ac:dyDescent="0.2">
      <c r="B37" s="1" t="s">
        <v>52</v>
      </c>
      <c r="H37" s="23">
        <v>78.364000000000004</v>
      </c>
      <c r="L37" s="23">
        <v>77.807000000000002</v>
      </c>
    </row>
    <row r="38" spans="1:22" x14ac:dyDescent="0.2">
      <c r="B38" s="1" t="s">
        <v>53</v>
      </c>
      <c r="H38" s="23">
        <v>2.93</v>
      </c>
      <c r="L38" s="23">
        <v>4.13</v>
      </c>
    </row>
    <row r="39" spans="1:22" x14ac:dyDescent="0.2">
      <c r="B39" s="1" t="s">
        <v>54</v>
      </c>
      <c r="H39" s="23">
        <f>SUM(H35:H38)</f>
        <v>276.86600000000004</v>
      </c>
      <c r="L39" s="23">
        <f>SUM(L35:L38)</f>
        <v>270.99099999999999</v>
      </c>
    </row>
    <row r="40" spans="1:22" s="3" customFormat="1" x14ac:dyDescent="0.2">
      <c r="B40" s="3" t="s">
        <v>6</v>
      </c>
      <c r="E40" s="75"/>
      <c r="G40" s="75"/>
      <c r="H40" s="12">
        <v>15.635999999999999</v>
      </c>
      <c r="I40" s="75"/>
      <c r="K40" s="75"/>
      <c r="L40" s="12">
        <v>49.576999999999998</v>
      </c>
      <c r="M40" s="76"/>
      <c r="V40" s="76"/>
    </row>
    <row r="41" spans="1:22" x14ac:dyDescent="0.2">
      <c r="A41" s="13"/>
      <c r="B41" s="1" t="s">
        <v>55</v>
      </c>
      <c r="H41" s="23">
        <v>2.9940000000000002</v>
      </c>
      <c r="L41" s="23">
        <v>10.474</v>
      </c>
    </row>
    <row r="42" spans="1:22" x14ac:dyDescent="0.2">
      <c r="A42" s="13"/>
      <c r="B42" s="1" t="s">
        <v>56</v>
      </c>
      <c r="H42" s="23">
        <v>1.3120000000000001</v>
      </c>
      <c r="L42" s="23">
        <v>0</v>
      </c>
    </row>
    <row r="43" spans="1:22" x14ac:dyDescent="0.2">
      <c r="A43" s="13"/>
      <c r="B43" s="1" t="s">
        <v>57</v>
      </c>
      <c r="H43" s="23">
        <v>1.4830000000000001</v>
      </c>
      <c r="L43" s="23">
        <v>1.7390000000000001</v>
      </c>
    </row>
    <row r="44" spans="1:22" x14ac:dyDescent="0.2">
      <c r="B44" s="1" t="s">
        <v>58</v>
      </c>
      <c r="H44" s="23">
        <f>H39+H40+H41+H42+H43</f>
        <v>298.29100000000011</v>
      </c>
      <c r="L44" s="23">
        <f>L39+L40+L41+L42+L43</f>
        <v>332.78099999999995</v>
      </c>
    </row>
    <row r="45" spans="1:22" x14ac:dyDescent="0.2">
      <c r="H45" s="23"/>
      <c r="L45" s="23"/>
    </row>
    <row r="46" spans="1:22" x14ac:dyDescent="0.2">
      <c r="A46" s="3"/>
      <c r="B46" s="1" t="s">
        <v>59</v>
      </c>
      <c r="H46" s="23">
        <v>11.737</v>
      </c>
      <c r="L46" s="23">
        <v>21.773</v>
      </c>
    </row>
    <row r="47" spans="1:22" x14ac:dyDescent="0.2">
      <c r="A47" s="3"/>
      <c r="B47" s="1" t="s">
        <v>60</v>
      </c>
      <c r="H47" s="23">
        <v>11.831</v>
      </c>
      <c r="L47" s="23">
        <v>11.615</v>
      </c>
    </row>
    <row r="48" spans="1:22" x14ac:dyDescent="0.2">
      <c r="A48" s="3"/>
      <c r="B48" s="1" t="s">
        <v>41</v>
      </c>
      <c r="H48" s="23">
        <v>0</v>
      </c>
      <c r="L48" s="23">
        <v>2.0670000000000002</v>
      </c>
    </row>
    <row r="49" spans="1:22" s="3" customFormat="1" x14ac:dyDescent="0.2">
      <c r="B49" s="3" t="s">
        <v>61</v>
      </c>
      <c r="E49" s="75"/>
      <c r="G49" s="75"/>
      <c r="H49" s="12">
        <v>5.38</v>
      </c>
      <c r="I49" s="75"/>
      <c r="K49" s="75"/>
      <c r="L49" s="12">
        <v>0</v>
      </c>
      <c r="M49" s="76"/>
      <c r="V49" s="76"/>
    </row>
    <row r="50" spans="1:22" x14ac:dyDescent="0.2">
      <c r="A50" s="3"/>
      <c r="B50" s="1" t="s">
        <v>62</v>
      </c>
      <c r="H50" s="23">
        <f>SUM(H46:H49)</f>
        <v>28.947999999999997</v>
      </c>
      <c r="L50" s="23">
        <f>SUM(L46:L49)</f>
        <v>35.454999999999998</v>
      </c>
    </row>
    <row r="51" spans="1:22" x14ac:dyDescent="0.2">
      <c r="B51" s="1" t="s">
        <v>63</v>
      </c>
      <c r="H51" s="23">
        <v>0.68700000000000006</v>
      </c>
      <c r="L51" s="23">
        <v>0.51600000000000001</v>
      </c>
    </row>
    <row r="52" spans="1:22" x14ac:dyDescent="0.2">
      <c r="B52" s="1" t="s">
        <v>60</v>
      </c>
      <c r="H52" s="23">
        <v>164.32900000000001</v>
      </c>
      <c r="L52" s="23">
        <v>160.916</v>
      </c>
    </row>
    <row r="53" spans="1:22" s="3" customFormat="1" x14ac:dyDescent="0.2">
      <c r="B53" s="3" t="s">
        <v>61</v>
      </c>
      <c r="E53" s="75"/>
      <c r="G53" s="75"/>
      <c r="H53" s="12">
        <v>24.693000000000001</v>
      </c>
      <c r="I53" s="75"/>
      <c r="K53" s="75"/>
      <c r="L53" s="12">
        <v>0</v>
      </c>
      <c r="M53" s="76"/>
      <c r="V53" s="76"/>
    </row>
    <row r="54" spans="1:22" x14ac:dyDescent="0.2">
      <c r="A54" s="3"/>
      <c r="B54" s="1" t="s">
        <v>64</v>
      </c>
      <c r="H54" s="23">
        <v>3.8029999999999999</v>
      </c>
      <c r="L54" s="23">
        <v>3.7690000000000001</v>
      </c>
    </row>
    <row r="55" spans="1:22" x14ac:dyDescent="0.2">
      <c r="B55" s="1" t="s">
        <v>65</v>
      </c>
      <c r="H55" s="23">
        <f>H50+H51+H52+H53+H54</f>
        <v>222.46</v>
      </c>
      <c r="L55" s="23">
        <f>L50+L51+L52+L53+L54</f>
        <v>200.65600000000001</v>
      </c>
    </row>
    <row r="56" spans="1:22" x14ac:dyDescent="0.2">
      <c r="H56" s="23"/>
    </row>
    <row r="57" spans="1:22" x14ac:dyDescent="0.2">
      <c r="B57" s="1" t="s">
        <v>66</v>
      </c>
      <c r="H57" s="23">
        <v>75.83</v>
      </c>
      <c r="L57" s="23">
        <v>132.125</v>
      </c>
    </row>
    <row r="58" spans="1:22" x14ac:dyDescent="0.2">
      <c r="B58" s="1" t="s">
        <v>67</v>
      </c>
      <c r="H58" s="23">
        <f>H55+H57</f>
        <v>298.29000000000002</v>
      </c>
      <c r="L58" s="23">
        <f>L55+L57</f>
        <v>332.78100000000001</v>
      </c>
    </row>
    <row r="60" spans="1:22" x14ac:dyDescent="0.2">
      <c r="B60" s="1" t="s">
        <v>133</v>
      </c>
      <c r="H60" s="23">
        <f>H44-H55</f>
        <v>75.831000000000103</v>
      </c>
      <c r="L60" s="23">
        <f>L44-L55</f>
        <v>132.12499999999994</v>
      </c>
    </row>
    <row r="61" spans="1:22" x14ac:dyDescent="0.2">
      <c r="A61" s="3"/>
      <c r="B61" s="1" t="s">
        <v>134</v>
      </c>
      <c r="H61" s="1">
        <f>H60/H14</f>
        <v>0.50318915060727853</v>
      </c>
      <c r="L61" s="1">
        <f>L60/L14</f>
        <v>0.77343526713555533</v>
      </c>
    </row>
    <row r="64" spans="1:22" x14ac:dyDescent="0.2">
      <c r="A64" s="3"/>
      <c r="B64" s="1" t="s">
        <v>136</v>
      </c>
    </row>
    <row r="71" spans="1:1" x14ac:dyDescent="0.2">
      <c r="A71" s="3"/>
    </row>
    <row r="72" spans="1:1" x14ac:dyDescent="0.2">
      <c r="A72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</hyperlinks>
  <pageMargins left="0.7" right="0.7" top="0.75" bottom="0.75" header="0.3" footer="0.3"/>
  <pageSetup paperSize="256" orientation="portrait" horizontalDpi="203" verticalDpi="203" r:id="rId6"/>
  <ignoredErrors>
    <ignoredError sqref="K5 K8 K10:K11 I10:I11 I8 I5 G12 G10 G8 G5 V11:AB11 M5 M8 M10:M11 AC11:AL11" formula="1"/>
  </ignoredErrors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2022-10-12T08:30:56Z</dcterms:modified>
</cp:coreProperties>
</file>