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D9B256B4-3D5F-4CD2-9F59-18FBDE65E097}" xr6:coauthVersionLast="47" xr6:coauthVersionMax="47" xr10:uidLastSave="{00000000-0000-0000-0000-000000000000}"/>
  <bookViews>
    <workbookView xWindow="-120" yWindow="-120" windowWidth="29040" windowHeight="15720" activeTab="1" xr2:uid="{38D97D9D-CDAC-46C1-9E62-D504DC6E0915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5" i="2" l="1"/>
  <c r="M85" i="2"/>
  <c r="I82" i="2"/>
  <c r="M82" i="2"/>
  <c r="C34" i="1"/>
  <c r="D29" i="1"/>
  <c r="C10" i="1"/>
  <c r="C9" i="1"/>
  <c r="M69" i="2"/>
  <c r="M68" i="2"/>
  <c r="M67" i="2"/>
  <c r="M65" i="2"/>
  <c r="M64" i="2"/>
  <c r="M62" i="2"/>
  <c r="M53" i="2"/>
  <c r="M59" i="2" s="1"/>
  <c r="M42" i="2"/>
  <c r="M38" i="2"/>
  <c r="M44" i="2" s="1"/>
  <c r="I23" i="2"/>
  <c r="I7" i="2"/>
  <c r="I9" i="2" s="1"/>
  <c r="I13" i="2" s="1"/>
  <c r="I16" i="2" s="1"/>
  <c r="I18" i="2" s="1"/>
  <c r="I19" i="2" s="1"/>
  <c r="M16" i="2"/>
  <c r="M25" i="2" s="1"/>
  <c r="M14" i="2"/>
  <c r="M13" i="2"/>
  <c r="M23" i="2" s="1"/>
  <c r="M9" i="2"/>
  <c r="M22" i="2" s="1"/>
  <c r="M7" i="2"/>
  <c r="M27" i="2" s="1"/>
  <c r="M18" i="2" l="1"/>
  <c r="I22" i="2"/>
  <c r="I24" i="2"/>
  <c r="I25" i="2"/>
  <c r="M19" i="2" l="1"/>
  <c r="M24" i="2"/>
  <c r="C11" i="1" l="1"/>
  <c r="C8" i="1"/>
  <c r="C12" i="1" l="1"/>
</calcChain>
</file>

<file path=xl/sharedStrings.xml><?xml version="1.0" encoding="utf-8"?>
<sst xmlns="http://schemas.openxmlformats.org/spreadsheetml/2006/main" count="129" uniqueCount="112">
  <si>
    <t>$SWI</t>
  </si>
  <si>
    <t>SolarWinds Corporation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</si>
  <si>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</si>
  <si>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</si>
  <si>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</si>
  <si>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</si>
  <si>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</si>
  <si>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</si>
  <si>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</si>
  <si>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</si>
  <si>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</si>
  <si>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</si>
  <si>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</si>
  <si>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CTO</t>
  </si>
  <si>
    <t>COO</t>
  </si>
  <si>
    <t>HQ</t>
  </si>
  <si>
    <t>Founded</t>
  </si>
  <si>
    <t>IPO</t>
  </si>
  <si>
    <t>Austin, TX</t>
  </si>
  <si>
    <t>Network management software, monitoring &amp; analysing performance of servers, machines, network, systems analysis</t>
  </si>
  <si>
    <t>Update</t>
  </si>
  <si>
    <t>IR</t>
  </si>
  <si>
    <t>Link</t>
  </si>
  <si>
    <t>Profile</t>
  </si>
  <si>
    <t>Valuation Metrics</t>
  </si>
  <si>
    <t>P/B</t>
  </si>
  <si>
    <t>P/S</t>
  </si>
  <si>
    <t>EV/S</t>
  </si>
  <si>
    <t>P/E</t>
  </si>
  <si>
    <t>EV/E</t>
  </si>
  <si>
    <t>Stockopedia</t>
  </si>
  <si>
    <t>Employ.</t>
  </si>
  <si>
    <t>Key Events</t>
  </si>
  <si>
    <t>SolarWinds suffered one of the most notable hacks in history from Russian cyber criminals</t>
  </si>
  <si>
    <t>Cybercriminals had been selling access to SolarWinds infrastructure since 2017</t>
  </si>
  <si>
    <t>They had access to the company's entire Microsoft 365 resulting in a massive data breach</t>
  </si>
  <si>
    <t>2021 Cyber Attack</t>
  </si>
  <si>
    <t>SolarWinds separated it's MSP business from the main company forming N-able</t>
  </si>
  <si>
    <t>CEO Kevin Thompson retired to be replaced by Suhakar Ramakrishna former CEO of Pulse Secure</t>
  </si>
  <si>
    <t>Sudhakar Ramakrishna</t>
  </si>
  <si>
    <t>Q324</t>
  </si>
  <si>
    <t>Q224</t>
  </si>
  <si>
    <t>Q124</t>
  </si>
  <si>
    <t>Q423</t>
  </si>
  <si>
    <t>Q323</t>
  </si>
  <si>
    <t>Q223</t>
  </si>
  <si>
    <t>Q123</t>
  </si>
  <si>
    <t>Q422</t>
  </si>
  <si>
    <t>Q322</t>
  </si>
  <si>
    <t>Q222</t>
  </si>
  <si>
    <t>Q122</t>
  </si>
  <si>
    <t>Subscription</t>
  </si>
  <si>
    <t>Revenue</t>
  </si>
  <si>
    <t>License</t>
  </si>
  <si>
    <t>COGS</t>
  </si>
  <si>
    <t>Gross Profit</t>
  </si>
  <si>
    <t>S&amp;M</t>
  </si>
  <si>
    <t>R&amp;D</t>
  </si>
  <si>
    <t>G&amp;A</t>
  </si>
  <si>
    <t>Operating Income</t>
  </si>
  <si>
    <t>Other Income</t>
  </si>
  <si>
    <t>Interest Income</t>
  </si>
  <si>
    <t>Pretax Income</t>
  </si>
  <si>
    <t>Taxes</t>
  </si>
  <si>
    <t>Net Income</t>
  </si>
  <si>
    <t>EPS</t>
  </si>
  <si>
    <t>30/092023</t>
  </si>
  <si>
    <t>Gross Margin</t>
  </si>
  <si>
    <t>Operating Margin</t>
  </si>
  <si>
    <t>Net Margin</t>
  </si>
  <si>
    <t>Tax Rate</t>
  </si>
  <si>
    <t>Revenue Y/Y</t>
  </si>
  <si>
    <t>Revenue Q/Q</t>
  </si>
  <si>
    <t>Balance Sheet</t>
  </si>
  <si>
    <t>Maintenance</t>
  </si>
  <si>
    <t>Short-Term Investments</t>
  </si>
  <si>
    <t>A/R</t>
  </si>
  <si>
    <t>Income Tax Recievable</t>
  </si>
  <si>
    <t>Prepaid &amp; OCA</t>
  </si>
  <si>
    <t>TCA</t>
  </si>
  <si>
    <t>Deferred Taxes</t>
  </si>
  <si>
    <t>PP&amp;E</t>
  </si>
  <si>
    <t>Operating Lease ROU</t>
  </si>
  <si>
    <t>Goodwill + Intangibles</t>
  </si>
  <si>
    <t>Other Assets</t>
  </si>
  <si>
    <t>Assets</t>
  </si>
  <si>
    <t>A/P</t>
  </si>
  <si>
    <t>Accrued Liabilities</t>
  </si>
  <si>
    <t>Current Operating Lease</t>
  </si>
  <si>
    <t>Accrued Interest Payable</t>
  </si>
  <si>
    <t>Income Taxes Payable</t>
  </si>
  <si>
    <t>Current Portion of Deferred Revenue</t>
  </si>
  <si>
    <t>Current Debt Obligation</t>
  </si>
  <si>
    <t>TCL</t>
  </si>
  <si>
    <t>Deferred Revenue</t>
  </si>
  <si>
    <t>Operating Lease Liabilities</t>
  </si>
  <si>
    <t>Long-Term Debt</t>
  </si>
  <si>
    <t>Liabilities</t>
  </si>
  <si>
    <t>S/E</t>
  </si>
  <si>
    <t>S/E+L</t>
  </si>
  <si>
    <t>Book Value</t>
  </si>
  <si>
    <t>Book Value per Share</t>
  </si>
  <si>
    <t>Other Long-Term Liabilities</t>
  </si>
  <si>
    <t>Cashflow</t>
  </si>
  <si>
    <t>Model NI</t>
  </si>
  <si>
    <t>Reported NI</t>
  </si>
  <si>
    <t>CFFO</t>
  </si>
  <si>
    <t>FCF</t>
  </si>
  <si>
    <t>CapEx</t>
  </si>
  <si>
    <t>FCF TTM</t>
  </si>
  <si>
    <t>Price - FCF</t>
  </si>
  <si>
    <t>FCF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</si>
</sst>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 applyAlignment="1">
      <alignment horizontal="center"/>
    </xf>
    <xf numFmtId="3" fontId="1" fillId="0" borderId="0" xfId="0" applyNumberFormat="1" applyFont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/>
    <xf numFmtId="0" fontId="1" fillId="0" borderId="0" xfId="0" applyFont="1" applyBorder="1"/>
    <xf numFmtId="0" fontId="1" fillId="0" borderId="5" xfId="0" applyFont="1" applyBorder="1" applyAlignment="1">
      <alignment horizontal="right"/>
    </xf>
    <xf numFmtId="3" fontId="1" fillId="0" borderId="0" xfId="0" applyNumberFormat="1" applyFont="1" applyBorder="1"/>
    <xf numFmtId="0" fontId="2" fillId="2" borderId="6" xfId="0" applyFont="1" applyFill="1" applyBorder="1"/>
    <xf numFmtId="3" fontId="1" fillId="0" borderId="7" xfId="0" applyNumberFormat="1" applyFont="1" applyBorder="1"/>
    <xf numFmtId="0" fontId="1" fillId="0" borderId="8" xfId="0" applyFont="1" applyBorder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2" borderId="4" xfId="0" applyFont="1" applyFill="1" applyBorder="1" applyAlignment="1">
      <alignment horizontal="center"/>
    </xf>
    <xf numFmtId="17" fontId="2" fillId="2" borderId="4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4" borderId="0" xfId="1" applyFont="1" applyFill="1" applyBorder="1"/>
    <xf numFmtId="0" fontId="1" fillId="4" borderId="0" xfId="0" applyFont="1" applyFill="1" applyBorder="1" applyAlignment="1">
      <alignment horizontal="left" indent="1"/>
    </xf>
    <xf numFmtId="17" fontId="1" fillId="0" borderId="0" xfId="0" applyNumberFormat="1" applyFont="1"/>
    <xf numFmtId="0" fontId="2" fillId="0" borderId="0" xfId="0" applyFont="1" applyAlignment="1">
      <alignment horizontal="right"/>
    </xf>
    <xf numFmtId="0" fontId="4" fillId="0" borderId="0" xfId="1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5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/>
    </xf>
    <xf numFmtId="4" fontId="1" fillId="0" borderId="0" xfId="0" applyNumberFormat="1" applyFont="1"/>
    <xf numFmtId="3" fontId="7" fillId="0" borderId="0" xfId="0" applyNumberFormat="1" applyFont="1" applyAlignment="1">
      <alignment horizontal="left" indent="1"/>
    </xf>
    <xf numFmtId="3" fontId="7" fillId="0" borderId="0" xfId="0" applyNumberFormat="1" applyFont="1"/>
    <xf numFmtId="3" fontId="2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8" fillId="0" borderId="0" xfId="0" applyFont="1"/>
    <xf numFmtId="15" fontId="1" fillId="4" borderId="0" xfId="0" applyNumberFormat="1" applyFont="1" applyFill="1" applyAlignment="1">
      <alignment horizontal="center"/>
    </xf>
    <xf numFmtId="170" fontId="1" fillId="4" borderId="0" xfId="0" applyNumberFormat="1" applyFont="1" applyFill="1" applyAlignment="1">
      <alignment horizontal="center"/>
    </xf>
    <xf numFmtId="3" fontId="9" fillId="0" borderId="0" xfId="0" applyNumberFormat="1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438151</xdr:colOff>
      <xdr:row>0</xdr:row>
      <xdr:rowOff>9525</xdr:rowOff>
    </xdr:from>
    <xdr:to>
      <xdr:col>4</xdr:col>
      <xdr:colOff>428625</xdr:colOff>
      <xdr:row>3</xdr:row>
      <xdr:rowOff>123824</xdr:rowOff>
    </xdr:to>
    <xdr:pic>
      <xdr:nvPicPr>
        <xdr:cNvPr id="2" name="Picture 1" descr="SolarWinds logo">
          <a:extLst>
            <a:ext uri="{FF2B5EF4-FFF2-40B4-BE49-F238E27FC236}">
              <a16:creationId xmlns:a16="http://schemas.microsoft.com/office/drawing/2014/main" id="{B93CA374-C794-1D87-1DAA-785C50300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1" y="9525"/>
          <a:ext cx="600074" cy="600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n.wikipedia.org/wiki/2020_United_States_federal_government_data_brea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Archives/edgar/data/1739942/000173994224000123/swi-2024093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63B4-506D-4B22-BF95-EC9E1E1ACEC0}">
  <dimension ref="A2:U39"/>
  <sheetViews>
    <sheetView workbookViewId="0">
      <selection activeCell="C34" sqref="C34:D34"/>
    </sheetView>
  </sheetViews>
  <sheetFormatPr defaultRowHeight="12.75" x14ac:dyDescent="0.2"/>
  <cols>
    <col min="1" max="16384" width="9.140625" style="1"/>
  </cols>
  <sheetData>
    <row r="2" spans="1:21" x14ac:dyDescent="0.2">
      <c r="B2" s="2" t="s">
        <v>0</v>
      </c>
      <c r="F2" s="1" t="s">
        <v>19</v>
      </c>
    </row>
    <row r="3" spans="1:21" x14ac:dyDescent="0.2">
      <c r="B3" s="2" t="s">
        <v>1</v>
      </c>
    </row>
    <row r="5" spans="1:21" x14ac:dyDescent="0.2">
      <c r="B5" s="8" t="s">
        <v>2</v>
      </c>
      <c r="C5" s="9"/>
      <c r="D5" s="10"/>
      <c r="G5" s="8" t="s">
        <v>32</v>
      </c>
      <c r="H5" s="9"/>
      <c r="I5" s="9"/>
      <c r="J5" s="9"/>
      <c r="K5" s="9"/>
      <c r="L5" s="9"/>
      <c r="M5" s="9"/>
      <c r="N5" s="9"/>
      <c r="O5" s="9"/>
      <c r="P5" s="10"/>
      <c r="U5" s="1" t="s">
        <v>36</v>
      </c>
    </row>
    <row r="6" spans="1:21" x14ac:dyDescent="0.2">
      <c r="B6" s="11" t="s">
        <v>3</v>
      </c>
      <c r="C6" s="12">
        <v>14.41</v>
      </c>
      <c r="D6" s="13"/>
      <c r="G6" s="28"/>
      <c r="H6" s="24"/>
      <c r="I6" s="24"/>
      <c r="J6" s="24"/>
      <c r="K6" s="24"/>
      <c r="L6" s="24"/>
      <c r="M6" s="24"/>
      <c r="N6" s="24"/>
      <c r="O6" s="24"/>
      <c r="P6" s="25"/>
    </row>
    <row r="7" spans="1:21" x14ac:dyDescent="0.2">
      <c r="B7" s="11" t="s">
        <v>4</v>
      </c>
      <c r="C7" s="14">
        <v>171</v>
      </c>
      <c r="D7" s="13" t="s">
        <v>40</v>
      </c>
      <c r="G7" s="28"/>
      <c r="H7" s="24"/>
      <c r="I7" s="24"/>
      <c r="J7" s="24"/>
      <c r="K7" s="24"/>
      <c r="L7" s="24"/>
      <c r="M7" s="24"/>
      <c r="N7" s="24"/>
      <c r="O7" s="24"/>
      <c r="P7" s="25"/>
    </row>
    <row r="8" spans="1:21" x14ac:dyDescent="0.2">
      <c r="B8" s="11" t="s">
        <v>5</v>
      </c>
      <c r="C8" s="14">
        <f>C6*C7</f>
        <v>2464.11</v>
      </c>
      <c r="D8" s="13"/>
      <c r="G8" s="28"/>
      <c r="H8" s="24"/>
      <c r="I8" s="24"/>
      <c r="J8" s="24"/>
      <c r="K8" s="24"/>
      <c r="L8" s="24"/>
      <c r="M8" s="24"/>
      <c r="N8" s="24"/>
      <c r="O8" s="24"/>
      <c r="P8" s="25"/>
    </row>
    <row r="9" spans="1:21" x14ac:dyDescent="0.2">
      <c r="B9" s="11" t="s">
        <v>6</v>
      </c>
      <c r="C9" s="14">
        <f>+'Financial Model'!M67</f>
        <v>199.19299999999998</v>
      </c>
      <c r="D9" s="13" t="s">
        <v>40</v>
      </c>
      <c r="G9" s="28"/>
      <c r="H9" s="24"/>
      <c r="I9" s="24"/>
      <c r="J9" s="24"/>
      <c r="K9" s="24"/>
      <c r="L9" s="24"/>
      <c r="M9" s="24"/>
      <c r="N9" s="24"/>
      <c r="O9" s="24"/>
      <c r="P9" s="25"/>
    </row>
    <row r="10" spans="1:21" x14ac:dyDescent="0.2">
      <c r="B10" s="11" t="s">
        <v>7</v>
      </c>
      <c r="C10" s="14">
        <f>+'Financial Model'!M68</f>
        <v>1205.375</v>
      </c>
      <c r="D10" s="13" t="s">
        <v>40</v>
      </c>
      <c r="G10" s="28"/>
      <c r="H10" s="24"/>
      <c r="I10" s="24"/>
      <c r="J10" s="24"/>
      <c r="K10" s="24"/>
      <c r="L10" s="24"/>
      <c r="M10" s="24"/>
      <c r="N10" s="24"/>
      <c r="O10" s="24"/>
      <c r="P10" s="25"/>
    </row>
    <row r="11" spans="1:21" x14ac:dyDescent="0.2">
      <c r="B11" s="11" t="s">
        <v>8</v>
      </c>
      <c r="C11" s="14">
        <f>C9-C10</f>
        <v>-1006.182</v>
      </c>
      <c r="D11" s="13" t="s">
        <v>40</v>
      </c>
      <c r="G11" s="28"/>
      <c r="H11" s="24"/>
      <c r="I11" s="24"/>
      <c r="J11" s="24"/>
      <c r="K11" s="24"/>
      <c r="L11" s="24"/>
      <c r="M11" s="24"/>
      <c r="N11" s="24"/>
      <c r="O11" s="24"/>
      <c r="P11" s="25"/>
    </row>
    <row r="12" spans="1:21" x14ac:dyDescent="0.2">
      <c r="B12" s="15" t="s">
        <v>9</v>
      </c>
      <c r="C12" s="16">
        <f>C8-C11</f>
        <v>3470.2920000000004</v>
      </c>
      <c r="D12" s="17"/>
      <c r="G12" s="28"/>
      <c r="H12" s="24"/>
      <c r="I12" s="24"/>
      <c r="J12" s="24"/>
      <c r="K12" s="24"/>
      <c r="L12" s="24"/>
      <c r="M12" s="24"/>
      <c r="N12" s="24"/>
      <c r="O12" s="24"/>
      <c r="P12" s="25"/>
    </row>
    <row r="13" spans="1:21" x14ac:dyDescent="0.2">
      <c r="G13" s="28"/>
      <c r="H13" s="24"/>
      <c r="I13" s="24"/>
      <c r="J13" s="24"/>
      <c r="K13" s="24"/>
      <c r="L13" s="24"/>
      <c r="M13" s="24"/>
      <c r="N13" s="24"/>
      <c r="O13" s="24"/>
      <c r="P13" s="25"/>
    </row>
    <row r="14" spans="1:21" x14ac:dyDescent="0.2">
      <c r="G14" s="28"/>
      <c r="H14" s="24"/>
      <c r="I14" s="24"/>
      <c r="J14" s="24"/>
      <c r="K14" s="24"/>
      <c r="L14" s="24"/>
      <c r="M14" s="24"/>
      <c r="N14" s="24"/>
      <c r="O14" s="24"/>
      <c r="P14" s="25"/>
    </row>
    <row r="15" spans="1:21" x14ac:dyDescent="0.2">
      <c r="B15" s="8" t="s">
        <v>10</v>
      </c>
      <c r="C15" s="9"/>
      <c r="D15" s="10"/>
      <c r="G15" s="28"/>
      <c r="H15" s="24"/>
      <c r="I15" s="24"/>
      <c r="J15" s="24"/>
      <c r="K15" s="24"/>
      <c r="L15" s="24"/>
      <c r="M15" s="24"/>
      <c r="N15" s="24"/>
      <c r="O15" s="24"/>
      <c r="P15" s="25"/>
    </row>
    <row r="16" spans="1:21" x14ac:dyDescent="0.2">
      <c r="A16" s="33">
        <v>44200</v>
      </c>
      <c r="B16" s="18" t="s">
        <v>11</v>
      </c>
      <c r="C16" s="19" t="s">
        <v>39</v>
      </c>
      <c r="D16" s="20"/>
      <c r="G16" s="28"/>
      <c r="H16" s="24"/>
      <c r="I16" s="24"/>
      <c r="J16" s="24"/>
      <c r="K16" s="24"/>
      <c r="L16" s="24"/>
      <c r="M16" s="24"/>
      <c r="N16" s="24"/>
      <c r="O16" s="24"/>
      <c r="P16" s="25"/>
    </row>
    <row r="17" spans="2:16" x14ac:dyDescent="0.2">
      <c r="B17" s="18" t="s">
        <v>12</v>
      </c>
      <c r="C17" s="19"/>
      <c r="D17" s="20"/>
      <c r="G17" s="28"/>
      <c r="H17" s="24"/>
      <c r="I17" s="24"/>
      <c r="J17" s="24"/>
      <c r="K17" s="24"/>
      <c r="L17" s="24"/>
      <c r="M17" s="24"/>
      <c r="N17" s="24"/>
      <c r="O17" s="24"/>
      <c r="P17" s="25"/>
    </row>
    <row r="18" spans="2:16" x14ac:dyDescent="0.2">
      <c r="B18" s="18" t="s">
        <v>13</v>
      </c>
      <c r="C18" s="19"/>
      <c r="D18" s="20"/>
      <c r="G18" s="28"/>
      <c r="H18" s="24"/>
      <c r="I18" s="24"/>
      <c r="J18" s="24"/>
      <c r="K18" s="24"/>
      <c r="L18" s="24"/>
      <c r="M18" s="24"/>
      <c r="N18" s="24"/>
      <c r="O18" s="24"/>
      <c r="P18" s="25"/>
    </row>
    <row r="19" spans="2:16" x14ac:dyDescent="0.2">
      <c r="B19" s="21" t="s">
        <v>14</v>
      </c>
      <c r="C19" s="22"/>
      <c r="D19" s="23"/>
      <c r="G19" s="28"/>
      <c r="H19" s="24"/>
      <c r="I19" s="24"/>
      <c r="J19" s="24"/>
      <c r="K19" s="24"/>
      <c r="L19" s="24"/>
      <c r="M19" s="24"/>
      <c r="N19" s="24"/>
      <c r="O19" s="24"/>
      <c r="P19" s="25"/>
    </row>
    <row r="20" spans="2:16" x14ac:dyDescent="0.2">
      <c r="G20" s="28"/>
      <c r="H20" s="24"/>
      <c r="I20" s="24"/>
      <c r="J20" s="24"/>
      <c r="K20" s="24"/>
      <c r="L20" s="24"/>
      <c r="M20" s="24"/>
      <c r="N20" s="24"/>
      <c r="O20" s="24"/>
      <c r="P20" s="25"/>
    </row>
    <row r="21" spans="2:16" x14ac:dyDescent="0.2">
      <c r="G21" s="28"/>
      <c r="H21" s="24"/>
      <c r="I21" s="24"/>
      <c r="J21" s="24"/>
      <c r="K21" s="24"/>
      <c r="L21" s="24"/>
      <c r="M21" s="24"/>
      <c r="N21" s="24"/>
      <c r="O21" s="24"/>
      <c r="P21" s="25"/>
    </row>
    <row r="22" spans="2:16" x14ac:dyDescent="0.2">
      <c r="B22" s="3" t="s">
        <v>23</v>
      </c>
      <c r="C22" s="3"/>
      <c r="D22" s="3"/>
      <c r="G22" s="29">
        <v>44501</v>
      </c>
      <c r="H22" s="31" t="s">
        <v>33</v>
      </c>
      <c r="I22" s="24"/>
      <c r="J22" s="24"/>
      <c r="K22" s="24"/>
      <c r="L22" s="24"/>
      <c r="M22" s="24"/>
      <c r="N22" s="24"/>
      <c r="O22" s="24"/>
      <c r="P22" s="25"/>
    </row>
    <row r="23" spans="2:16" x14ac:dyDescent="0.2">
      <c r="B23" s="7" t="s">
        <v>15</v>
      </c>
      <c r="C23" s="6" t="s">
        <v>18</v>
      </c>
      <c r="D23" s="6"/>
      <c r="G23" s="28"/>
      <c r="H23" s="32" t="s">
        <v>34</v>
      </c>
      <c r="I23" s="24"/>
      <c r="J23" s="24"/>
      <c r="K23" s="24"/>
      <c r="L23" s="24"/>
      <c r="M23" s="24"/>
      <c r="N23" s="24"/>
      <c r="O23" s="24"/>
      <c r="P23" s="25"/>
    </row>
    <row r="24" spans="2:16" x14ac:dyDescent="0.2">
      <c r="B24" s="7" t="s">
        <v>16</v>
      </c>
      <c r="C24" s="6">
        <v>1999</v>
      </c>
      <c r="D24" s="6"/>
      <c r="G24" s="28"/>
      <c r="H24" s="32" t="s">
        <v>35</v>
      </c>
      <c r="I24" s="24"/>
      <c r="J24" s="24"/>
      <c r="K24" s="24"/>
      <c r="L24" s="24"/>
      <c r="M24" s="24"/>
      <c r="N24" s="24"/>
      <c r="O24" s="24"/>
      <c r="P24" s="25"/>
    </row>
    <row r="25" spans="2:16" x14ac:dyDescent="0.2">
      <c r="B25" s="7" t="s">
        <v>17</v>
      </c>
      <c r="C25" s="6">
        <v>2018</v>
      </c>
      <c r="D25" s="6"/>
      <c r="G25" s="28"/>
      <c r="H25" s="24"/>
      <c r="I25" s="24"/>
      <c r="J25" s="24"/>
      <c r="K25" s="24"/>
      <c r="L25" s="24"/>
      <c r="M25" s="24"/>
      <c r="N25" s="24"/>
      <c r="O25" s="24"/>
      <c r="P25" s="25"/>
    </row>
    <row r="26" spans="2:16" x14ac:dyDescent="0.2">
      <c r="B26" s="7"/>
      <c r="C26" s="6"/>
      <c r="D26" s="6"/>
      <c r="G26" s="29">
        <v>44378</v>
      </c>
      <c r="H26" s="24" t="s">
        <v>37</v>
      </c>
      <c r="I26" s="24"/>
      <c r="J26" s="24"/>
      <c r="K26" s="24"/>
      <c r="L26" s="24"/>
      <c r="M26" s="24"/>
      <c r="N26" s="24"/>
      <c r="O26" s="24"/>
      <c r="P26" s="25"/>
    </row>
    <row r="27" spans="2:16" x14ac:dyDescent="0.2">
      <c r="B27" s="7" t="s">
        <v>31</v>
      </c>
      <c r="C27" s="6"/>
      <c r="D27" s="6"/>
      <c r="G27" s="28"/>
      <c r="H27" s="24"/>
      <c r="I27" s="24"/>
      <c r="J27" s="24"/>
      <c r="K27" s="24"/>
      <c r="L27" s="24"/>
      <c r="M27" s="24"/>
      <c r="N27" s="24"/>
      <c r="O27" s="24"/>
      <c r="P27" s="25"/>
    </row>
    <row r="28" spans="2:16" x14ac:dyDescent="0.2">
      <c r="B28" s="7"/>
      <c r="C28" s="6"/>
      <c r="D28" s="6"/>
      <c r="G28" s="28"/>
      <c r="H28" s="24"/>
      <c r="I28" s="24"/>
      <c r="J28" s="24"/>
      <c r="K28" s="24"/>
      <c r="L28" s="24"/>
      <c r="M28" s="24"/>
      <c r="N28" s="24"/>
      <c r="O28" s="24"/>
      <c r="P28" s="25"/>
    </row>
    <row r="29" spans="2:16" x14ac:dyDescent="0.2">
      <c r="B29" s="7" t="s">
        <v>20</v>
      </c>
      <c r="C29" s="5" t="s">
        <v>40</v>
      </c>
      <c r="D29" s="47">
        <f>+'Financial Model'!M3</f>
        <v>45597</v>
      </c>
      <c r="G29" s="29">
        <v>44166</v>
      </c>
      <c r="H29" s="24" t="s">
        <v>38</v>
      </c>
      <c r="I29" s="24"/>
      <c r="J29" s="24"/>
      <c r="K29" s="24"/>
      <c r="L29" s="24"/>
      <c r="M29" s="24"/>
      <c r="N29" s="24"/>
      <c r="O29" s="24"/>
      <c r="P29" s="25"/>
    </row>
    <row r="30" spans="2:16" x14ac:dyDescent="0.2">
      <c r="B30" s="7" t="s">
        <v>21</v>
      </c>
      <c r="C30" s="6" t="s">
        <v>22</v>
      </c>
      <c r="D30" s="6"/>
      <c r="G30" s="30"/>
      <c r="H30" s="26"/>
      <c r="I30" s="26"/>
      <c r="J30" s="26"/>
      <c r="K30" s="26"/>
      <c r="L30" s="26"/>
      <c r="M30" s="26"/>
      <c r="N30" s="26"/>
      <c r="O30" s="26"/>
      <c r="P30" s="27"/>
    </row>
    <row r="33" spans="2:4" x14ac:dyDescent="0.2">
      <c r="B33" s="3" t="s">
        <v>24</v>
      </c>
      <c r="C33" s="3"/>
      <c r="D33" s="3"/>
    </row>
    <row r="34" spans="2:4" x14ac:dyDescent="0.2">
      <c r="B34" s="7" t="s">
        <v>25</v>
      </c>
      <c r="C34" s="48">
        <f>+C6/'Financial Model'!M65</f>
        <v>1.8366805608184922</v>
      </c>
      <c r="D34" s="48"/>
    </row>
    <row r="35" spans="2:4" x14ac:dyDescent="0.2">
      <c r="B35" s="7" t="s">
        <v>26</v>
      </c>
      <c r="C35" s="6"/>
      <c r="D35" s="6"/>
    </row>
    <row r="36" spans="2:4" x14ac:dyDescent="0.2">
      <c r="B36" s="7" t="s">
        <v>27</v>
      </c>
      <c r="C36" s="6"/>
      <c r="D36" s="6"/>
    </row>
    <row r="37" spans="2:4" x14ac:dyDescent="0.2">
      <c r="B37" s="7" t="s">
        <v>28</v>
      </c>
      <c r="C37" s="6"/>
      <c r="D37" s="6"/>
    </row>
    <row r="38" spans="2:4" x14ac:dyDescent="0.2">
      <c r="B38" s="7" t="s">
        <v>29</v>
      </c>
      <c r="C38" s="6"/>
      <c r="D38" s="6"/>
    </row>
    <row r="39" spans="2:4" x14ac:dyDescent="0.2">
      <c r="B39" s="7" t="s">
        <v>30</v>
      </c>
      <c r="C39" s="6">
        <v>74</v>
      </c>
      <c r="D39" s="6"/>
    </row>
  </sheetData>
  <mergeCells count="22">
    <mergeCell ref="C35:D35"/>
    <mergeCell ref="C36:D36"/>
    <mergeCell ref="C37:D37"/>
    <mergeCell ref="C38:D38"/>
    <mergeCell ref="C39:D39"/>
    <mergeCell ref="G5:P5"/>
    <mergeCell ref="C27:D27"/>
    <mergeCell ref="C28:D28"/>
    <mergeCell ref="C30:D30"/>
    <mergeCell ref="B33:D33"/>
    <mergeCell ref="C34:D34"/>
    <mergeCell ref="C19:D19"/>
    <mergeCell ref="B22:D22"/>
    <mergeCell ref="C23:D23"/>
    <mergeCell ref="C24:D24"/>
    <mergeCell ref="C25:D25"/>
    <mergeCell ref="C26:D26"/>
    <mergeCell ref="B5:D5"/>
    <mergeCell ref="B15:D15"/>
    <mergeCell ref="C16:D16"/>
    <mergeCell ref="C17:D17"/>
    <mergeCell ref="C18:D18"/>
  </mergeCells>
  <hyperlinks>
    <hyperlink ref="H22" r:id="rId1" xr:uid="{2BD897C7-B500-4A71-BE24-EF4CE68C1A7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F714E-F330-46B9-B183-C1FDFBF38577}">
  <dimension ref="B1:M91"/>
  <sheetViews>
    <sheetView tabSelected="1" workbookViewId="0">
      <pane xSplit="2" ySplit="3" topLeftCell="C55" activePane="bottomRight" state="frozen"/>
      <selection pane="topRight" activeCell="C1" sqref="C1"/>
      <selection pane="bottomLeft" activeCell="A4" sqref="A4"/>
      <selection pane="bottomRight" activeCell="B92" sqref="B92"/>
    </sheetView>
  </sheetViews>
  <sheetFormatPr defaultRowHeight="12.75" x14ac:dyDescent="0.2"/>
  <cols>
    <col min="1" max="1" width="4.28515625" style="1" customWidth="1"/>
    <col min="2" max="2" width="17.5703125" style="1" bestFit="1" customWidth="1"/>
    <col min="3" max="16384" width="9.140625" style="1"/>
  </cols>
  <sheetData>
    <row r="1" spans="2:13" s="34" customFormat="1" x14ac:dyDescent="0.2">
      <c r="C1" s="34" t="s">
        <v>50</v>
      </c>
      <c r="D1" s="34" t="s">
        <v>49</v>
      </c>
      <c r="E1" s="34" t="s">
        <v>48</v>
      </c>
      <c r="F1" s="34" t="s">
        <v>47</v>
      </c>
      <c r="G1" s="34" t="s">
        <v>46</v>
      </c>
      <c r="H1" s="34" t="s">
        <v>45</v>
      </c>
      <c r="I1" s="34" t="s">
        <v>44</v>
      </c>
      <c r="J1" s="34" t="s">
        <v>43</v>
      </c>
      <c r="K1" s="34" t="s">
        <v>42</v>
      </c>
      <c r="L1" s="34" t="s">
        <v>41</v>
      </c>
      <c r="M1" s="35" t="s">
        <v>40</v>
      </c>
    </row>
    <row r="2" spans="2:13" s="37" customFormat="1" x14ac:dyDescent="0.2">
      <c r="B2" s="36"/>
      <c r="I2" s="37" t="s">
        <v>66</v>
      </c>
      <c r="M2" s="39">
        <v>45565</v>
      </c>
    </row>
    <row r="3" spans="2:13" s="37" customFormat="1" x14ac:dyDescent="0.2">
      <c r="B3" s="36"/>
      <c r="M3" s="38">
        <v>45597</v>
      </c>
    </row>
    <row r="4" spans="2:13" s="42" customFormat="1" x14ac:dyDescent="0.2">
      <c r="B4" s="41" t="s">
        <v>51</v>
      </c>
      <c r="I4" s="42">
        <v>58.764000000000003</v>
      </c>
      <c r="M4" s="42">
        <v>76.462999999999994</v>
      </c>
    </row>
    <row r="5" spans="2:13" s="42" customFormat="1" x14ac:dyDescent="0.2">
      <c r="B5" s="41" t="s">
        <v>74</v>
      </c>
      <c r="I5" s="42">
        <v>116.41500000000001</v>
      </c>
      <c r="M5" s="42">
        <v>110.63200000000001</v>
      </c>
    </row>
    <row r="6" spans="2:13" s="42" customFormat="1" x14ac:dyDescent="0.2">
      <c r="B6" s="41" t="s">
        <v>53</v>
      </c>
      <c r="I6" s="42">
        <v>14.412000000000001</v>
      </c>
      <c r="M6" s="42">
        <v>12.93</v>
      </c>
    </row>
    <row r="7" spans="2:13" s="43" customFormat="1" x14ac:dyDescent="0.2">
      <c r="B7" s="43" t="s">
        <v>52</v>
      </c>
      <c r="I7" s="43">
        <f>+I4+I5+I6</f>
        <v>189.59100000000001</v>
      </c>
      <c r="M7" s="43">
        <f>+M4+M5+M6</f>
        <v>200.02500000000001</v>
      </c>
    </row>
    <row r="8" spans="2:13" s="4" customFormat="1" x14ac:dyDescent="0.2">
      <c r="B8" s="4" t="s">
        <v>54</v>
      </c>
      <c r="I8" s="4">
        <v>17.957000000000001</v>
      </c>
      <c r="M8" s="4">
        <v>19.692</v>
      </c>
    </row>
    <row r="9" spans="2:13" s="43" customFormat="1" x14ac:dyDescent="0.2">
      <c r="B9" s="43" t="s">
        <v>55</v>
      </c>
      <c r="I9" s="43">
        <f>+I7-I8</f>
        <v>171.63400000000001</v>
      </c>
      <c r="M9" s="43">
        <f>+M7-M8</f>
        <v>180.333</v>
      </c>
    </row>
    <row r="10" spans="2:13" s="4" customFormat="1" x14ac:dyDescent="0.2">
      <c r="B10" s="4" t="s">
        <v>56</v>
      </c>
      <c r="I10" s="4">
        <v>59.674999999999997</v>
      </c>
      <c r="M10" s="4">
        <v>56.954000000000001</v>
      </c>
    </row>
    <row r="11" spans="2:13" s="4" customFormat="1" x14ac:dyDescent="0.2">
      <c r="B11" s="4" t="s">
        <v>57</v>
      </c>
      <c r="I11" s="4">
        <v>27.308</v>
      </c>
      <c r="M11" s="4">
        <v>26.353999999999999</v>
      </c>
    </row>
    <row r="12" spans="2:13" s="4" customFormat="1" x14ac:dyDescent="0.2">
      <c r="B12" s="4" t="s">
        <v>58</v>
      </c>
      <c r="I12" s="4">
        <v>31.100999999999999</v>
      </c>
      <c r="M12" s="4">
        <v>32.563000000000002</v>
      </c>
    </row>
    <row r="13" spans="2:13" s="43" customFormat="1" x14ac:dyDescent="0.2">
      <c r="B13" s="43" t="s">
        <v>59</v>
      </c>
      <c r="I13" s="43">
        <f>+I9-SUM(I10:I12)</f>
        <v>53.550000000000011</v>
      </c>
      <c r="M13" s="43">
        <f>+M9-SUM(M10:M12)</f>
        <v>64.462000000000003</v>
      </c>
    </row>
    <row r="14" spans="2:13" s="4" customFormat="1" x14ac:dyDescent="0.2">
      <c r="B14" s="4" t="s">
        <v>61</v>
      </c>
      <c r="I14" s="4">
        <v>-29.314</v>
      </c>
      <c r="M14" s="4">
        <f>-25.97</f>
        <v>-25.97</v>
      </c>
    </row>
    <row r="15" spans="2:13" s="4" customFormat="1" x14ac:dyDescent="0.2">
      <c r="B15" s="4" t="s">
        <v>60</v>
      </c>
      <c r="I15" s="4">
        <v>-0.121</v>
      </c>
      <c r="M15" s="4">
        <v>-0.70399999999999996</v>
      </c>
    </row>
    <row r="16" spans="2:13" s="4" customFormat="1" x14ac:dyDescent="0.2">
      <c r="B16" s="4" t="s">
        <v>62</v>
      </c>
      <c r="I16" s="4">
        <f>+I13+I14+I15</f>
        <v>24.115000000000013</v>
      </c>
      <c r="M16" s="4">
        <f>+M13+M14+M15</f>
        <v>37.788000000000004</v>
      </c>
    </row>
    <row r="17" spans="2:13" s="4" customFormat="1" x14ac:dyDescent="0.2">
      <c r="B17" s="4" t="s">
        <v>63</v>
      </c>
      <c r="I17" s="4">
        <v>12.262</v>
      </c>
      <c r="M17" s="4">
        <v>12.44</v>
      </c>
    </row>
    <row r="18" spans="2:13" s="4" customFormat="1" x14ac:dyDescent="0.2">
      <c r="B18" s="4" t="s">
        <v>64</v>
      </c>
      <c r="I18" s="4">
        <f>+I16-I17</f>
        <v>11.853000000000012</v>
      </c>
      <c r="M18" s="4">
        <f>+M16-M17</f>
        <v>25.348000000000006</v>
      </c>
    </row>
    <row r="19" spans="2:13" s="40" customFormat="1" x14ac:dyDescent="0.2">
      <c r="B19" s="40" t="s">
        <v>65</v>
      </c>
      <c r="I19" s="40">
        <f>+I18/I20</f>
        <v>7.1716835577068594E-2</v>
      </c>
      <c r="M19" s="40">
        <f>+M18/M20</f>
        <v>0.1457619321449109</v>
      </c>
    </row>
    <row r="20" spans="2:13" x14ac:dyDescent="0.2">
      <c r="B20" s="1" t="s">
        <v>4</v>
      </c>
      <c r="I20" s="1">
        <v>165.27500000000001</v>
      </c>
      <c r="M20" s="1">
        <v>173.9</v>
      </c>
    </row>
    <row r="22" spans="2:13" s="45" customFormat="1" x14ac:dyDescent="0.2">
      <c r="B22" s="45" t="s">
        <v>67</v>
      </c>
      <c r="I22" s="45">
        <f>+I9/I7</f>
        <v>0.90528558845092866</v>
      </c>
      <c r="M22" s="45">
        <f>+M9/M7</f>
        <v>0.90155230596175473</v>
      </c>
    </row>
    <row r="23" spans="2:13" s="45" customFormat="1" x14ac:dyDescent="0.2">
      <c r="B23" s="45" t="s">
        <v>68</v>
      </c>
      <c r="I23" s="45">
        <f>+I13/I7</f>
        <v>0.28245011630298911</v>
      </c>
      <c r="M23" s="45">
        <f>+M13/M7</f>
        <v>0.3222697162854643</v>
      </c>
    </row>
    <row r="24" spans="2:13" s="45" customFormat="1" x14ac:dyDescent="0.2">
      <c r="B24" s="45" t="s">
        <v>69</v>
      </c>
      <c r="I24" s="45">
        <f>+I18/I7</f>
        <v>6.2518790448913772E-2</v>
      </c>
      <c r="M24" s="45">
        <f>+M18/M7</f>
        <v>0.12672415948006502</v>
      </c>
    </row>
    <row r="25" spans="2:13" s="45" customFormat="1" x14ac:dyDescent="0.2">
      <c r="B25" s="45" t="s">
        <v>70</v>
      </c>
      <c r="I25" s="45">
        <f>+I17/I16</f>
        <v>0.50848019904623654</v>
      </c>
      <c r="M25" s="45">
        <f>+M17/M16</f>
        <v>0.32920503863660416</v>
      </c>
    </row>
    <row r="27" spans="2:13" s="44" customFormat="1" x14ac:dyDescent="0.2">
      <c r="B27" s="44" t="s">
        <v>71</v>
      </c>
      <c r="M27" s="44">
        <f>+M7/I7-1</f>
        <v>5.5034257955282717E-2</v>
      </c>
    </row>
    <row r="28" spans="2:13" x14ac:dyDescent="0.2">
      <c r="B28" s="1" t="s">
        <v>72</v>
      </c>
    </row>
    <row r="32" spans="2:13" x14ac:dyDescent="0.2">
      <c r="B32" s="46" t="s">
        <v>73</v>
      </c>
    </row>
    <row r="33" spans="2:13" s="43" customFormat="1" x14ac:dyDescent="0.2">
      <c r="B33" s="43" t="s">
        <v>6</v>
      </c>
      <c r="M33" s="43">
        <v>193.017</v>
      </c>
    </row>
    <row r="34" spans="2:13" s="43" customFormat="1" x14ac:dyDescent="0.2">
      <c r="B34" s="43" t="s">
        <v>75</v>
      </c>
      <c r="M34" s="43">
        <v>6.1760000000000002</v>
      </c>
    </row>
    <row r="35" spans="2:13" s="4" customFormat="1" x14ac:dyDescent="0.2">
      <c r="B35" s="4" t="s">
        <v>76</v>
      </c>
      <c r="M35" s="4">
        <v>100.188</v>
      </c>
    </row>
    <row r="36" spans="2:13" s="4" customFormat="1" x14ac:dyDescent="0.2">
      <c r="B36" s="4" t="s">
        <v>77</v>
      </c>
      <c r="M36" s="4">
        <v>1.4259999999999999</v>
      </c>
    </row>
    <row r="37" spans="2:13" s="4" customFormat="1" x14ac:dyDescent="0.2">
      <c r="B37" s="4" t="s">
        <v>78</v>
      </c>
      <c r="M37" s="4">
        <v>25.032</v>
      </c>
    </row>
    <row r="38" spans="2:13" s="4" customFormat="1" x14ac:dyDescent="0.2">
      <c r="B38" s="4" t="s">
        <v>79</v>
      </c>
      <c r="M38" s="4">
        <f>+SUM(M33:M37)</f>
        <v>325.83899999999994</v>
      </c>
    </row>
    <row r="39" spans="2:13" s="4" customFormat="1" x14ac:dyDescent="0.2">
      <c r="B39" s="4" t="s">
        <v>81</v>
      </c>
      <c r="M39" s="4">
        <v>17.21</v>
      </c>
    </row>
    <row r="40" spans="2:13" s="4" customFormat="1" x14ac:dyDescent="0.2">
      <c r="B40" s="4" t="s">
        <v>82</v>
      </c>
      <c r="M40" s="4">
        <v>34.325000000000003</v>
      </c>
    </row>
    <row r="41" spans="2:13" s="4" customFormat="1" x14ac:dyDescent="0.2">
      <c r="B41" s="4" t="s">
        <v>80</v>
      </c>
      <c r="M41" s="4">
        <v>137.93100000000001</v>
      </c>
    </row>
    <row r="42" spans="2:13" s="4" customFormat="1" x14ac:dyDescent="0.2">
      <c r="B42" s="4" t="s">
        <v>83</v>
      </c>
      <c r="M42" s="4">
        <f>2405.876+143.764</f>
        <v>2549.6400000000003</v>
      </c>
    </row>
    <row r="43" spans="2:13" s="4" customFormat="1" x14ac:dyDescent="0.2">
      <c r="B43" s="4" t="s">
        <v>84</v>
      </c>
      <c r="M43" s="4">
        <v>53.478999999999999</v>
      </c>
    </row>
    <row r="44" spans="2:13" s="4" customFormat="1" x14ac:dyDescent="0.2">
      <c r="B44" s="4" t="s">
        <v>85</v>
      </c>
      <c r="M44" s="4">
        <f>+SUM(M38:M43)</f>
        <v>3118.424</v>
      </c>
    </row>
    <row r="45" spans="2:13" s="4" customFormat="1" x14ac:dyDescent="0.2"/>
    <row r="46" spans="2:13" s="4" customFormat="1" x14ac:dyDescent="0.2">
      <c r="B46" s="4" t="s">
        <v>86</v>
      </c>
      <c r="M46" s="4">
        <v>9.4060000000000006</v>
      </c>
    </row>
    <row r="47" spans="2:13" s="4" customFormat="1" x14ac:dyDescent="0.2">
      <c r="B47" s="4" t="s">
        <v>87</v>
      </c>
      <c r="M47" s="4">
        <v>44.347999999999999</v>
      </c>
    </row>
    <row r="48" spans="2:13" s="4" customFormat="1" x14ac:dyDescent="0.2">
      <c r="B48" s="4" t="s">
        <v>88</v>
      </c>
      <c r="M48" s="4">
        <v>14.224</v>
      </c>
    </row>
    <row r="49" spans="2:13" s="43" customFormat="1" x14ac:dyDescent="0.2">
      <c r="B49" s="43" t="s">
        <v>89</v>
      </c>
      <c r="M49" s="43">
        <v>0.26200000000000001</v>
      </c>
    </row>
    <row r="50" spans="2:13" s="4" customFormat="1" x14ac:dyDescent="0.2">
      <c r="B50" s="4" t="s">
        <v>90</v>
      </c>
      <c r="M50" s="4">
        <v>44.335000000000001</v>
      </c>
    </row>
    <row r="51" spans="2:13" s="4" customFormat="1" x14ac:dyDescent="0.2">
      <c r="B51" s="4" t="s">
        <v>91</v>
      </c>
      <c r="M51" s="4">
        <v>335.38400000000001</v>
      </c>
    </row>
    <row r="52" spans="2:13" s="43" customFormat="1" x14ac:dyDescent="0.2">
      <c r="B52" s="43" t="s">
        <v>92</v>
      </c>
      <c r="M52" s="43">
        <v>9.2669999999999995</v>
      </c>
    </row>
    <row r="53" spans="2:13" s="4" customFormat="1" x14ac:dyDescent="0.2">
      <c r="B53" s="4" t="s">
        <v>93</v>
      </c>
      <c r="M53" s="4">
        <f>+SUM(M46:M52)</f>
        <v>457.226</v>
      </c>
    </row>
    <row r="54" spans="2:13" s="4" customFormat="1" x14ac:dyDescent="0.2">
      <c r="B54" s="4" t="s">
        <v>94</v>
      </c>
      <c r="M54" s="4">
        <v>43.548000000000002</v>
      </c>
    </row>
    <row r="55" spans="2:13" s="4" customFormat="1" x14ac:dyDescent="0.2">
      <c r="B55" s="4" t="s">
        <v>80</v>
      </c>
      <c r="M55" s="4">
        <v>1.9550000000000001</v>
      </c>
    </row>
    <row r="56" spans="2:13" s="4" customFormat="1" x14ac:dyDescent="0.2">
      <c r="B56" s="4" t="s">
        <v>95</v>
      </c>
      <c r="M56" s="4">
        <v>39.9</v>
      </c>
    </row>
    <row r="57" spans="2:13" s="4" customFormat="1" x14ac:dyDescent="0.2">
      <c r="B57" s="4" t="s">
        <v>102</v>
      </c>
      <c r="M57" s="4">
        <v>15.586</v>
      </c>
    </row>
    <row r="58" spans="2:13" s="4" customFormat="1" x14ac:dyDescent="0.2">
      <c r="B58" s="43" t="s">
        <v>96</v>
      </c>
      <c r="M58" s="43">
        <v>1195.846</v>
      </c>
    </row>
    <row r="59" spans="2:13" s="4" customFormat="1" x14ac:dyDescent="0.2">
      <c r="B59" s="4" t="s">
        <v>97</v>
      </c>
      <c r="M59" s="4">
        <f>+SUM(M53:M58)</f>
        <v>1754.0610000000001</v>
      </c>
    </row>
    <row r="60" spans="2:13" s="4" customFormat="1" x14ac:dyDescent="0.2"/>
    <row r="61" spans="2:13" s="4" customFormat="1" x14ac:dyDescent="0.2">
      <c r="B61" s="4" t="s">
        <v>98</v>
      </c>
      <c r="M61" s="4">
        <v>1364.3630000000001</v>
      </c>
    </row>
    <row r="62" spans="2:13" s="4" customFormat="1" x14ac:dyDescent="0.2">
      <c r="B62" s="4" t="s">
        <v>99</v>
      </c>
      <c r="M62" s="4">
        <f>+M61+M59</f>
        <v>3118.424</v>
      </c>
    </row>
    <row r="64" spans="2:13" x14ac:dyDescent="0.2">
      <c r="B64" s="1" t="s">
        <v>100</v>
      </c>
      <c r="M64" s="4">
        <f>+M44-M59</f>
        <v>1364.3629999999998</v>
      </c>
    </row>
    <row r="65" spans="2:13" x14ac:dyDescent="0.2">
      <c r="B65" s="1" t="s">
        <v>101</v>
      </c>
      <c r="M65" s="1">
        <f>+M64/M20</f>
        <v>7.8456756756756745</v>
      </c>
    </row>
    <row r="67" spans="2:13" x14ac:dyDescent="0.2">
      <c r="B67" s="1" t="s">
        <v>6</v>
      </c>
      <c r="M67" s="4">
        <f>+M33+M34</f>
        <v>199.19299999999998</v>
      </c>
    </row>
    <row r="68" spans="2:13" x14ac:dyDescent="0.2">
      <c r="B68" s="1" t="s">
        <v>7</v>
      </c>
      <c r="M68" s="4">
        <f>+M58+M52+M49</f>
        <v>1205.375</v>
      </c>
    </row>
    <row r="69" spans="2:13" x14ac:dyDescent="0.2">
      <c r="B69" s="1" t="s">
        <v>8</v>
      </c>
      <c r="M69" s="4">
        <f>+M67-M68</f>
        <v>-1006.182</v>
      </c>
    </row>
    <row r="71" spans="2:13" x14ac:dyDescent="0.2">
      <c r="B71" s="1" t="s">
        <v>3</v>
      </c>
    </row>
    <row r="72" spans="2:13" x14ac:dyDescent="0.2">
      <c r="B72" s="1" t="s">
        <v>5</v>
      </c>
    </row>
    <row r="73" spans="2:13" x14ac:dyDescent="0.2">
      <c r="B73" s="1" t="s">
        <v>9</v>
      </c>
    </row>
    <row r="75" spans="2:13" x14ac:dyDescent="0.2">
      <c r="B75" s="1" t="s">
        <v>25</v>
      </c>
    </row>
    <row r="76" spans="2:13" x14ac:dyDescent="0.2">
      <c r="B76" s="1" t="s">
        <v>26</v>
      </c>
    </row>
    <row r="77" spans="2:13" x14ac:dyDescent="0.2">
      <c r="B77" s="1" t="s">
        <v>28</v>
      </c>
    </row>
    <row r="81" spans="2:13" x14ac:dyDescent="0.2">
      <c r="B81" s="46" t="s">
        <v>103</v>
      </c>
    </row>
    <row r="82" spans="2:13" x14ac:dyDescent="0.2">
      <c r="B82" s="1" t="s">
        <v>104</v>
      </c>
      <c r="I82" s="49">
        <f>+I18</f>
        <v>11.853000000000012</v>
      </c>
      <c r="J82" s="50"/>
      <c r="K82" s="50"/>
      <c r="L82" s="50"/>
      <c r="M82" s="49">
        <f>+M18</f>
        <v>25.348000000000006</v>
      </c>
    </row>
    <row r="83" spans="2:13" x14ac:dyDescent="0.2">
      <c r="B83" s="1" t="s">
        <v>105</v>
      </c>
      <c r="I83" s="50">
        <v>-8.5329999999999995</v>
      </c>
      <c r="J83" s="50"/>
      <c r="K83" s="50"/>
      <c r="L83" s="50"/>
      <c r="M83" s="50">
        <v>39.232999999999997</v>
      </c>
    </row>
    <row r="84" spans="2:13" x14ac:dyDescent="0.2">
      <c r="I84" s="50"/>
      <c r="J84" s="50"/>
      <c r="K84" s="50"/>
      <c r="L84" s="50"/>
      <c r="M84" s="50"/>
    </row>
    <row r="85" spans="2:13" x14ac:dyDescent="0.2">
      <c r="B85" s="1" t="s">
        <v>106</v>
      </c>
      <c r="I85" s="50">
        <f>118.189-8.05-11.685</f>
        <v>98.453999999999994</v>
      </c>
      <c r="J85" s="50"/>
      <c r="K85" s="50"/>
      <c r="L85" s="50"/>
      <c r="M85" s="50">
        <f>115.518-7.132-2.148</f>
        <v>106.238</v>
      </c>
    </row>
    <row r="86" spans="2:13" x14ac:dyDescent="0.2">
      <c r="B86" s="1" t="s">
        <v>108</v>
      </c>
      <c r="I86" s="50">
        <v>3</v>
      </c>
      <c r="J86" s="50"/>
      <c r="K86" s="50"/>
      <c r="L86" s="50"/>
      <c r="M86" s="50">
        <v>4.4569999999999999</v>
      </c>
    </row>
    <row r="87" spans="2:13" x14ac:dyDescent="0.2">
      <c r="B87" s="1" t="s">
        <v>107</v>
      </c>
    </row>
    <row r="88" spans="2:13" x14ac:dyDescent="0.2">
      <c r="B88" s="1" t="s">
        <v>109</v>
      </c>
    </row>
    <row r="90" spans="2:13" x14ac:dyDescent="0.2">
      <c r="B90" s="1" t="s">
        <v>111</v>
      </c>
    </row>
    <row r="91" spans="2:13" x14ac:dyDescent="0.2">
      <c r="B91" s="1" t="s">
        <v>110</v>
      </c>
    </row>
  </sheetData>
  <hyperlinks>
    <hyperlink ref="M1" r:id="rId1" xr:uid="{B798FEA1-037A-410A-B158-2AB0044A222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Charlie H</cp:lastModifiedBy>
  <dcterms:created xsi:type="dcterms:W3CDTF">2024-12-10T23:38:38Z</dcterms:created>
  <dcterms:modified xsi:type="dcterms:W3CDTF">2024-12-11T00:40:38Z</dcterms:modified>
</cp:coreProperties>
</file>