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692D85DB-B62B-4DEC-9873-458D2782F8E0}" xr6:coauthVersionLast="47" xr6:coauthVersionMax="47" xr10:uidLastSave="{00000000-0000-0000-0000-000000000000}"/>
  <bookViews>
    <workbookView xWindow="-120" yWindow="-120" windowWidth="29040" windowHeight="15720" xr2:uid="{E05933DB-826C-48C0-AE9A-F8A61FB6D502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6" i="1"/>
  <c r="C35" i="1"/>
  <c r="C33" i="1"/>
  <c r="C34" i="1"/>
  <c r="C10" i="1"/>
  <c r="C9" i="1"/>
  <c r="C7" i="1"/>
  <c r="D11" i="1"/>
  <c r="D10" i="1"/>
  <c r="D9" i="1"/>
  <c r="D7" i="1"/>
  <c r="L81" i="2"/>
  <c r="L80" i="2"/>
  <c r="L79" i="2"/>
  <c r="L78" i="2"/>
  <c r="L76" i="2"/>
  <c r="L75" i="2"/>
  <c r="L74" i="2"/>
  <c r="K80" i="2"/>
  <c r="M80" i="2"/>
  <c r="K81" i="2"/>
  <c r="M81" i="2"/>
  <c r="K79" i="2"/>
  <c r="M79" i="2"/>
  <c r="K78" i="2"/>
  <c r="M78" i="2"/>
  <c r="K75" i="2"/>
  <c r="K76" i="2" s="1"/>
  <c r="M75" i="2"/>
  <c r="M76" i="2" s="1"/>
  <c r="W81" i="2"/>
  <c r="W80" i="2"/>
  <c r="W79" i="2"/>
  <c r="W78" i="2"/>
  <c r="W75" i="2"/>
  <c r="W76" i="2" s="1"/>
  <c r="V86" i="2"/>
  <c r="V87" i="2"/>
  <c r="W87" i="2"/>
  <c r="W86" i="2"/>
  <c r="L71" i="2"/>
  <c r="L70" i="2"/>
  <c r="L72" i="2" s="1"/>
  <c r="J67" i="2"/>
  <c r="L67" i="2"/>
  <c r="L68" i="2" s="1"/>
  <c r="L65" i="2"/>
  <c r="L64" i="2"/>
  <c r="L61" i="2"/>
  <c r="L60" i="2"/>
  <c r="L59" i="2"/>
  <c r="L58" i="2"/>
  <c r="L57" i="2"/>
  <c r="L56" i="2"/>
  <c r="L55" i="2"/>
  <c r="L50" i="2"/>
  <c r="L53" i="2"/>
  <c r="L52" i="2"/>
  <c r="L51" i="2"/>
  <c r="L49" i="2"/>
  <c r="L48" i="2"/>
  <c r="L38" i="2"/>
  <c r="L37" i="2"/>
  <c r="L44" i="2"/>
  <c r="L45" i="2"/>
  <c r="L43" i="2"/>
  <c r="L42" i="2"/>
  <c r="L40" i="2"/>
  <c r="L39" i="2"/>
  <c r="L36" i="2"/>
  <c r="L35" i="2"/>
  <c r="W71" i="2"/>
  <c r="W70" i="2"/>
  <c r="W72" i="2" s="1"/>
  <c r="W67" i="2"/>
  <c r="W68" i="2" s="1"/>
  <c r="W65" i="2"/>
  <c r="W54" i="2"/>
  <c r="W62" i="2" s="1"/>
  <c r="W46" i="2"/>
  <c r="W41" i="2"/>
  <c r="W35" i="2"/>
  <c r="M71" i="2"/>
  <c r="M70" i="2"/>
  <c r="M72" i="2" s="1"/>
  <c r="M67" i="2"/>
  <c r="M68" i="2" s="1"/>
  <c r="M65" i="2"/>
  <c r="M35" i="2"/>
  <c r="M41" i="2" s="1"/>
  <c r="M46" i="2" s="1"/>
  <c r="M54" i="2"/>
  <c r="M62" i="2" s="1"/>
  <c r="X4" i="2"/>
  <c r="N4" i="2"/>
  <c r="C26" i="1"/>
  <c r="W32" i="2"/>
  <c r="W27" i="2"/>
  <c r="D27" i="1"/>
  <c r="L2" i="2"/>
  <c r="L3" i="2"/>
  <c r="L15" i="2"/>
  <c r="L12" i="2"/>
  <c r="L10" i="2"/>
  <c r="L9" i="2"/>
  <c r="L7" i="2"/>
  <c r="L5" i="2"/>
  <c r="L4" i="2"/>
  <c r="W22" i="2"/>
  <c r="W6" i="2"/>
  <c r="W8" i="2" s="1"/>
  <c r="W11" i="2" s="1"/>
  <c r="W13" i="2" s="1"/>
  <c r="W14" i="2" s="1"/>
  <c r="M22" i="2"/>
  <c r="M6" i="2"/>
  <c r="M8" i="2" s="1"/>
  <c r="M11" i="2" s="1"/>
  <c r="M13" i="2" s="1"/>
  <c r="M14" i="2" s="1"/>
  <c r="K71" i="2"/>
  <c r="K70" i="2"/>
  <c r="K54" i="2"/>
  <c r="K62" i="2" s="1"/>
  <c r="K65" i="2" s="1"/>
  <c r="K35" i="2"/>
  <c r="K41" i="2" s="1"/>
  <c r="K46" i="2" s="1"/>
  <c r="K22" i="2"/>
  <c r="K6" i="2"/>
  <c r="K8" i="2" s="1"/>
  <c r="L54" i="2" l="1"/>
  <c r="L62" i="2" s="1"/>
  <c r="L41" i="2"/>
  <c r="L46" i="2" s="1"/>
  <c r="W17" i="2"/>
  <c r="L6" i="2"/>
  <c r="L17" i="2" s="1"/>
  <c r="M23" i="2"/>
  <c r="W19" i="2"/>
  <c r="M17" i="2"/>
  <c r="M19" i="2"/>
  <c r="M20" i="2"/>
  <c r="M18" i="2"/>
  <c r="W20" i="2"/>
  <c r="L23" i="2"/>
  <c r="W18" i="2"/>
  <c r="L8" i="2"/>
  <c r="K67" i="2"/>
  <c r="K68" i="2" s="1"/>
  <c r="K11" i="2"/>
  <c r="K18" i="2"/>
  <c r="K17" i="2"/>
  <c r="K72" i="2"/>
  <c r="L11" i="2" l="1"/>
  <c r="L18" i="2"/>
  <c r="K13" i="2"/>
  <c r="K20" i="2"/>
  <c r="AH23" i="2"/>
  <c r="L13" i="2" l="1"/>
  <c r="L20" i="2"/>
  <c r="K19" i="2"/>
  <c r="K14" i="2"/>
  <c r="X15" i="2"/>
  <c r="Y15" i="2" s="1"/>
  <c r="Z15" i="2" s="1"/>
  <c r="AA15" i="2" s="1"/>
  <c r="AB15" i="2" s="1"/>
  <c r="AC15" i="2" s="1"/>
  <c r="AD15" i="2" s="1"/>
  <c r="AE15" i="2" s="1"/>
  <c r="X9" i="2"/>
  <c r="L14" i="2" l="1"/>
  <c r="L19" i="2"/>
  <c r="X10" i="2"/>
  <c r="Y10" i="2" s="1"/>
  <c r="Y9" i="2"/>
  <c r="Z9" i="2" s="1"/>
  <c r="X6" i="2" l="1"/>
  <c r="Y4" i="2"/>
  <c r="X8" i="2"/>
  <c r="X11" i="2" s="1"/>
  <c r="Z10" i="2"/>
  <c r="AA9" i="2"/>
  <c r="X7" i="2" l="1"/>
  <c r="X12" i="2"/>
  <c r="X13" i="2" s="1"/>
  <c r="Z4" i="2"/>
  <c r="Y6" i="2"/>
  <c r="Y5" i="2" s="1"/>
  <c r="Y8" i="2"/>
  <c r="Y11" i="2" s="1"/>
  <c r="X5" i="2"/>
  <c r="AA10" i="2"/>
  <c r="AB9" i="2"/>
  <c r="AC9" i="2" s="1"/>
  <c r="Y12" i="2" l="1"/>
  <c r="Y13" i="2" s="1"/>
  <c r="Y7" i="2"/>
  <c r="AA4" i="2"/>
  <c r="Z6" i="2"/>
  <c r="Z5" i="2" s="1"/>
  <c r="Z8" i="2"/>
  <c r="Z11" i="2" s="1"/>
  <c r="X14" i="2"/>
  <c r="AB10" i="2"/>
  <c r="AD9" i="2"/>
  <c r="AE9" i="2" s="1"/>
  <c r="Y14" i="2" l="1"/>
  <c r="AB4" i="2"/>
  <c r="AA6" i="2"/>
  <c r="AA5" i="2" s="1"/>
  <c r="AA8" i="2"/>
  <c r="AA11" i="2" s="1"/>
  <c r="Z12" i="2"/>
  <c r="Z13" i="2" s="1"/>
  <c r="Z14" i="2" s="1"/>
  <c r="Z7" i="2"/>
  <c r="AC10" i="2"/>
  <c r="AD10" i="2" s="1"/>
  <c r="AE10" i="2" s="1"/>
  <c r="AA12" i="2" l="1"/>
  <c r="AA13" i="2" s="1"/>
  <c r="AA7" i="2"/>
  <c r="AC4" i="2"/>
  <c r="AB6" i="2"/>
  <c r="AB5" i="2" s="1"/>
  <c r="AB8" i="2"/>
  <c r="AB11" i="2" s="1"/>
  <c r="U75" i="2"/>
  <c r="U79" i="2" s="1"/>
  <c r="T75" i="2"/>
  <c r="T79" i="2" s="1"/>
  <c r="S75" i="2"/>
  <c r="S79" i="2" s="1"/>
  <c r="R75" i="2"/>
  <c r="V75" i="2"/>
  <c r="V79" i="2" l="1"/>
  <c r="R79" i="2"/>
  <c r="AA14" i="2"/>
  <c r="AB12" i="2"/>
  <c r="AB13" i="2" s="1"/>
  <c r="AB14" i="2" s="1"/>
  <c r="AB7" i="2"/>
  <c r="AD4" i="2"/>
  <c r="AC8" i="2"/>
  <c r="AC11" i="2" s="1"/>
  <c r="AC6" i="2"/>
  <c r="J64" i="2"/>
  <c r="J55" i="2"/>
  <c r="J50" i="2"/>
  <c r="J71" i="2" s="1"/>
  <c r="J61" i="2"/>
  <c r="J60" i="2"/>
  <c r="J59" i="2"/>
  <c r="J58" i="2"/>
  <c r="J57" i="2"/>
  <c r="J56" i="2"/>
  <c r="J53" i="2"/>
  <c r="J52" i="2"/>
  <c r="J51" i="2"/>
  <c r="J49" i="2"/>
  <c r="J48" i="2"/>
  <c r="J45" i="2"/>
  <c r="J44" i="2"/>
  <c r="J70" i="2" s="1"/>
  <c r="J43" i="2"/>
  <c r="J42" i="2"/>
  <c r="J40" i="2"/>
  <c r="J39" i="2"/>
  <c r="J38" i="2"/>
  <c r="J37" i="2"/>
  <c r="J36" i="2"/>
  <c r="J35" i="2"/>
  <c r="V71" i="2"/>
  <c r="V70" i="2"/>
  <c r="V54" i="2"/>
  <c r="V62" i="2" s="1"/>
  <c r="V65" i="2" s="1"/>
  <c r="V35" i="2"/>
  <c r="V41" i="2" s="1"/>
  <c r="V46" i="2" s="1"/>
  <c r="J2" i="2"/>
  <c r="J12" i="2"/>
  <c r="J10" i="2"/>
  <c r="J9" i="2"/>
  <c r="J7" i="2"/>
  <c r="J15" i="2"/>
  <c r="J5" i="2"/>
  <c r="J4" i="2"/>
  <c r="L22" i="2" s="1"/>
  <c r="V22" i="2"/>
  <c r="V6" i="2"/>
  <c r="V8" i="2" s="1"/>
  <c r="V72" i="2" l="1"/>
  <c r="V76" i="2" s="1"/>
  <c r="V80" i="2" s="1"/>
  <c r="J41" i="2"/>
  <c r="V67" i="2"/>
  <c r="V68" i="2" s="1"/>
  <c r="V78" i="2" s="1"/>
  <c r="J23" i="2"/>
  <c r="K23" i="2"/>
  <c r="AC7" i="2"/>
  <c r="AC12" i="2"/>
  <c r="AC13" i="2" s="1"/>
  <c r="AC14" i="2" s="1"/>
  <c r="AC5" i="2"/>
  <c r="AE4" i="2"/>
  <c r="AD6" i="2"/>
  <c r="AD5" i="2" s="1"/>
  <c r="AD8" i="2"/>
  <c r="AD11" i="2" s="1"/>
  <c r="J72" i="2"/>
  <c r="J6" i="2"/>
  <c r="J17" i="2" s="1"/>
  <c r="J54" i="2"/>
  <c r="J62" i="2" s="1"/>
  <c r="J65" i="2" s="1"/>
  <c r="J46" i="2"/>
  <c r="V18" i="2"/>
  <c r="V11" i="2"/>
  <c r="V17" i="2"/>
  <c r="F64" i="2"/>
  <c r="F60" i="2"/>
  <c r="F59" i="2"/>
  <c r="F58" i="2"/>
  <c r="F57" i="2"/>
  <c r="F56" i="2"/>
  <c r="F53" i="2"/>
  <c r="F52" i="2"/>
  <c r="F51" i="2"/>
  <c r="F49" i="2"/>
  <c r="F48" i="2"/>
  <c r="F45" i="2"/>
  <c r="F55" i="2"/>
  <c r="F50" i="2"/>
  <c r="F44" i="2"/>
  <c r="F43" i="2"/>
  <c r="F42" i="2"/>
  <c r="F40" i="2"/>
  <c r="F39" i="2"/>
  <c r="F38" i="2"/>
  <c r="F37" i="2"/>
  <c r="F36" i="2"/>
  <c r="R71" i="2"/>
  <c r="R70" i="2"/>
  <c r="S71" i="2"/>
  <c r="S70" i="2"/>
  <c r="T71" i="2"/>
  <c r="T70" i="2"/>
  <c r="U71" i="2"/>
  <c r="U70" i="2"/>
  <c r="R54" i="2"/>
  <c r="S54" i="2"/>
  <c r="R35" i="2"/>
  <c r="R41" i="2" s="1"/>
  <c r="R46" i="2" s="1"/>
  <c r="S35" i="2"/>
  <c r="S41" i="2" s="1"/>
  <c r="S46" i="2" s="1"/>
  <c r="T54" i="2"/>
  <c r="T35" i="2"/>
  <c r="F35" i="2" s="1"/>
  <c r="U54" i="2"/>
  <c r="U35" i="2"/>
  <c r="U41" i="2" s="1"/>
  <c r="U46" i="2" s="1"/>
  <c r="H12" i="2"/>
  <c r="H10" i="2"/>
  <c r="H9" i="2"/>
  <c r="H7" i="2"/>
  <c r="H5" i="2"/>
  <c r="H4" i="2"/>
  <c r="I23" i="2" s="1"/>
  <c r="D12" i="2"/>
  <c r="D10" i="2"/>
  <c r="D9" i="2"/>
  <c r="D7" i="2"/>
  <c r="D5" i="2"/>
  <c r="D4" i="2"/>
  <c r="E23" i="2" s="1"/>
  <c r="F12" i="2"/>
  <c r="F10" i="2"/>
  <c r="F9" i="2"/>
  <c r="F7" i="2"/>
  <c r="F5" i="2"/>
  <c r="F4" i="2"/>
  <c r="D3" i="2"/>
  <c r="H3" i="2"/>
  <c r="F2" i="2"/>
  <c r="D15" i="2"/>
  <c r="F15" i="2"/>
  <c r="H15" i="2"/>
  <c r="T22" i="2"/>
  <c r="S22" i="2"/>
  <c r="R6" i="2"/>
  <c r="R17" i="2" s="1"/>
  <c r="S6" i="2"/>
  <c r="S17" i="2" s="1"/>
  <c r="U22" i="2"/>
  <c r="T6" i="2"/>
  <c r="T8" i="2" s="1"/>
  <c r="U6" i="2"/>
  <c r="U17" i="2" s="1"/>
  <c r="D71" i="2"/>
  <c r="D70" i="2"/>
  <c r="D54" i="2"/>
  <c r="D35" i="2"/>
  <c r="D41" i="2" s="1"/>
  <c r="D46" i="2" s="1"/>
  <c r="C71" i="2"/>
  <c r="C70" i="2"/>
  <c r="C72" i="2" s="1"/>
  <c r="E71" i="2"/>
  <c r="E70" i="2"/>
  <c r="C54" i="2"/>
  <c r="E54" i="2"/>
  <c r="C35" i="2"/>
  <c r="C41" i="2" s="1"/>
  <c r="C46" i="2" s="1"/>
  <c r="E35" i="2"/>
  <c r="E41" i="2" s="1"/>
  <c r="E46" i="2" s="1"/>
  <c r="E22" i="2"/>
  <c r="G22" i="2"/>
  <c r="C6" i="2"/>
  <c r="C8" i="2" s="1"/>
  <c r="C11" i="2" s="1"/>
  <c r="E6" i="2"/>
  <c r="E8" i="2" s="1"/>
  <c r="J68" i="2" l="1"/>
  <c r="E72" i="2"/>
  <c r="J8" i="2"/>
  <c r="J11" i="2" s="1"/>
  <c r="AD12" i="2"/>
  <c r="AD13" i="2" s="1"/>
  <c r="AD14" i="2" s="1"/>
  <c r="AD7" i="2"/>
  <c r="AE6" i="2"/>
  <c r="AE8" i="2"/>
  <c r="AE11" i="2" s="1"/>
  <c r="C62" i="2"/>
  <c r="C65" i="2" s="1"/>
  <c r="U62" i="2"/>
  <c r="U65" i="2" s="1"/>
  <c r="J22" i="2"/>
  <c r="T62" i="2"/>
  <c r="T65" i="2" s="1"/>
  <c r="D62" i="2"/>
  <c r="D65" i="2" s="1"/>
  <c r="S62" i="2"/>
  <c r="S65" i="2" s="1"/>
  <c r="E62" i="2"/>
  <c r="E65" i="2" s="1"/>
  <c r="R62" i="2"/>
  <c r="R67" i="2" s="1"/>
  <c r="R68" i="2" s="1"/>
  <c r="R78" i="2" s="1"/>
  <c r="J18" i="2"/>
  <c r="F41" i="2"/>
  <c r="F46" i="2" s="1"/>
  <c r="H23" i="2"/>
  <c r="U72" i="2"/>
  <c r="U76" i="2" s="1"/>
  <c r="U80" i="2" s="1"/>
  <c r="F22" i="2"/>
  <c r="S72" i="2"/>
  <c r="S76" i="2" s="1"/>
  <c r="S80" i="2" s="1"/>
  <c r="F54" i="2"/>
  <c r="F62" i="2" s="1"/>
  <c r="F65" i="2" s="1"/>
  <c r="D23" i="2"/>
  <c r="F70" i="2"/>
  <c r="V20" i="2"/>
  <c r="V13" i="2"/>
  <c r="F71" i="2"/>
  <c r="C13" i="2"/>
  <c r="C14" i="2" s="1"/>
  <c r="C20" i="2"/>
  <c r="U8" i="2"/>
  <c r="F23" i="2"/>
  <c r="T41" i="2"/>
  <c r="T46" i="2" s="1"/>
  <c r="D72" i="2"/>
  <c r="D6" i="2"/>
  <c r="D8" i="2" s="1"/>
  <c r="T72" i="2"/>
  <c r="T76" i="2" s="1"/>
  <c r="T80" i="2" s="1"/>
  <c r="R72" i="2"/>
  <c r="R76" i="2" s="1"/>
  <c r="R80" i="2" s="1"/>
  <c r="E11" i="2"/>
  <c r="E18" i="2"/>
  <c r="T11" i="2"/>
  <c r="T18" i="2"/>
  <c r="R8" i="2"/>
  <c r="T17" i="2"/>
  <c r="S8" i="2"/>
  <c r="F6" i="2"/>
  <c r="F17" i="2" s="1"/>
  <c r="C17" i="2"/>
  <c r="C18" i="2"/>
  <c r="E17" i="2"/>
  <c r="G23" i="2"/>
  <c r="H6" i="2"/>
  <c r="H8" i="2" s="1"/>
  <c r="H22" i="2"/>
  <c r="C67" i="2" l="1"/>
  <c r="C68" i="2" s="1"/>
  <c r="E67" i="2"/>
  <c r="E68" i="2" s="1"/>
  <c r="D67" i="2"/>
  <c r="D68" i="2" s="1"/>
  <c r="AE12" i="2"/>
  <c r="AE13" i="2" s="1"/>
  <c r="AE7" i="2"/>
  <c r="AE5" i="2"/>
  <c r="R65" i="2"/>
  <c r="U67" i="2"/>
  <c r="U68" i="2" s="1"/>
  <c r="U78" i="2" s="1"/>
  <c r="S67" i="2"/>
  <c r="S68" i="2" s="1"/>
  <c r="S78" i="2" s="1"/>
  <c r="T67" i="2"/>
  <c r="T68" i="2" s="1"/>
  <c r="T78" i="2" s="1"/>
  <c r="J13" i="2"/>
  <c r="J20" i="2"/>
  <c r="V19" i="2"/>
  <c r="V14" i="2"/>
  <c r="V81" i="2" s="1"/>
  <c r="F8" i="2"/>
  <c r="F11" i="2" s="1"/>
  <c r="F13" i="2" s="1"/>
  <c r="F14" i="2" s="1"/>
  <c r="C19" i="2"/>
  <c r="F72" i="2"/>
  <c r="D11" i="2"/>
  <c r="D18" i="2"/>
  <c r="F67" i="2"/>
  <c r="F68" i="2" s="1"/>
  <c r="U18" i="2"/>
  <c r="U11" i="2"/>
  <c r="T13" i="2"/>
  <c r="T19" i="2" s="1"/>
  <c r="T20" i="2"/>
  <c r="D17" i="2"/>
  <c r="E13" i="2"/>
  <c r="E19" i="2" s="1"/>
  <c r="E20" i="2"/>
  <c r="S11" i="2"/>
  <c r="S18" i="2"/>
  <c r="R11" i="2"/>
  <c r="R18" i="2"/>
  <c r="H11" i="2"/>
  <c r="H18" i="2"/>
  <c r="H17" i="2"/>
  <c r="H71" i="2"/>
  <c r="H70" i="2"/>
  <c r="G71" i="2"/>
  <c r="G70" i="2"/>
  <c r="G72" i="2" s="1"/>
  <c r="I71" i="2"/>
  <c r="I70" i="2"/>
  <c r="AF13" i="2" l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AH19" i="2" s="1"/>
  <c r="AE14" i="2"/>
  <c r="H72" i="2"/>
  <c r="J19" i="2"/>
  <c r="J14" i="2"/>
  <c r="E14" i="2"/>
  <c r="F18" i="2"/>
  <c r="T14" i="2"/>
  <c r="T81" i="2" s="1"/>
  <c r="F20" i="2"/>
  <c r="F19" i="2"/>
  <c r="R13" i="2"/>
  <c r="R19" i="2" s="1"/>
  <c r="R20" i="2"/>
  <c r="U13" i="2"/>
  <c r="U20" i="2"/>
  <c r="H13" i="2"/>
  <c r="H19" i="2" s="1"/>
  <c r="H20" i="2"/>
  <c r="S13" i="2"/>
  <c r="S19" i="2" s="1"/>
  <c r="S20" i="2"/>
  <c r="D13" i="2"/>
  <c r="D20" i="2"/>
  <c r="I72" i="2"/>
  <c r="H54" i="2"/>
  <c r="H35" i="2"/>
  <c r="H41" i="2" s="1"/>
  <c r="H46" i="2" s="1"/>
  <c r="H62" i="2" l="1"/>
  <c r="H67" i="2" s="1"/>
  <c r="H68" i="2" s="1"/>
  <c r="H14" i="2"/>
  <c r="R14" i="2"/>
  <c r="R81" i="2" s="1"/>
  <c r="S14" i="2"/>
  <c r="S81" i="2" s="1"/>
  <c r="U14" i="2"/>
  <c r="U81" i="2" s="1"/>
  <c r="U19" i="2"/>
  <c r="D19" i="2"/>
  <c r="D14" i="2"/>
  <c r="G54" i="2"/>
  <c r="I54" i="2"/>
  <c r="G35" i="2"/>
  <c r="G41" i="2" s="1"/>
  <c r="G46" i="2" s="1"/>
  <c r="I35" i="2"/>
  <c r="I41" i="2" s="1"/>
  <c r="I46" i="2" s="1"/>
  <c r="I22" i="2"/>
  <c r="G62" i="2" l="1"/>
  <c r="G65" i="2" s="1"/>
  <c r="H65" i="2"/>
  <c r="I62" i="2"/>
  <c r="I67" i="2" s="1"/>
  <c r="I68" i="2" s="1"/>
  <c r="G6" i="2"/>
  <c r="G17" i="2" s="1"/>
  <c r="I6" i="2"/>
  <c r="I17" i="2" s="1"/>
  <c r="C11" i="1"/>
  <c r="AH20" i="2" s="1"/>
  <c r="AH21" i="2" s="1"/>
  <c r="AH22" i="2" s="1"/>
  <c r="AH24" i="2" s="1"/>
  <c r="C8" i="1"/>
  <c r="G67" i="2" l="1"/>
  <c r="G68" i="2" s="1"/>
  <c r="I65" i="2"/>
  <c r="C12" i="1"/>
  <c r="I8" i="2"/>
  <c r="G8" i="2"/>
  <c r="G18" i="2" l="1"/>
  <c r="G11" i="2"/>
  <c r="I18" i="2"/>
  <c r="I11" i="2"/>
  <c r="I13" i="2" l="1"/>
  <c r="I14" i="2" s="1"/>
  <c r="I20" i="2"/>
  <c r="G13" i="2"/>
  <c r="G20" i="2"/>
  <c r="G14" i="2"/>
  <c r="G19" i="2"/>
  <c r="I19" i="2" l="1"/>
</calcChain>
</file>

<file path=xl/sharedStrings.xml><?xml version="1.0" encoding="utf-8"?>
<sst xmlns="http://schemas.openxmlformats.org/spreadsheetml/2006/main" count="158" uniqueCount="129">
  <si>
    <t>£SGE</t>
  </si>
  <si>
    <t>Sage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</si>
  <si>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</si>
  <si>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</si>
  <si>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</si>
  <si>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</si>
  <si>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</si>
  <si>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</si>
  <si>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</si>
  <si>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</si>
  <si>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</si>
  <si>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</si>
  <si>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</si>
  <si>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</si>
  <si>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Profile</t>
  </si>
  <si>
    <t>HQ</t>
  </si>
  <si>
    <t>Founded</t>
  </si>
  <si>
    <t>Update</t>
  </si>
  <si>
    <t>IR</t>
  </si>
  <si>
    <t>Link</t>
  </si>
  <si>
    <t>Ratios</t>
  </si>
  <si>
    <t>P/E</t>
  </si>
  <si>
    <t>P/S</t>
  </si>
  <si>
    <t>P/B</t>
  </si>
  <si>
    <t>Stephen Hare</t>
  </si>
  <si>
    <t>ACA, B.A. B.Com</t>
  </si>
  <si>
    <t>Exec. Dir</t>
  </si>
  <si>
    <t>Jonathan Howell</t>
  </si>
  <si>
    <t>CTO</t>
  </si>
  <si>
    <t>Aaron Harris</t>
  </si>
  <si>
    <t>Newcastle, UK</t>
  </si>
  <si>
    <t>H122</t>
  </si>
  <si>
    <t>H119</t>
  </si>
  <si>
    <t>H219</t>
  </si>
  <si>
    <t>H120</t>
  </si>
  <si>
    <t>H220</t>
  </si>
  <si>
    <t>H221</t>
  </si>
  <si>
    <t>H222</t>
  </si>
  <si>
    <t>H121</t>
  </si>
  <si>
    <t>Revenue</t>
  </si>
  <si>
    <t>COGS</t>
  </si>
  <si>
    <t>Gross Profit</t>
  </si>
  <si>
    <t>SG&amp;A</t>
  </si>
  <si>
    <t>Operating Income</t>
  </si>
  <si>
    <t>Finance Income</t>
  </si>
  <si>
    <t>Finance Cost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</si>
  <si>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</si>
  <si>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</si>
  <si>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</si>
  <si>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</si>
  <si>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</si>
  <si>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</si>
  <si>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</si>
  <si>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</si>
  <si>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</si>
  <si>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</si>
  <si>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</si>
  <si>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</si>
  <si>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</si>
  <si>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</si>
  <si>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</si>
  <si>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</si>
  <si>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</si>
  <si>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</si>
  <si>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</si>
  <si>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</si>
  <si>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</si>
  <si>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</si>
  <si>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</si>
  <si>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Balance Sheet</t>
  </si>
  <si>
    <t>Goodwill+Intangibles</t>
  </si>
  <si>
    <t>PP&amp;E</t>
  </si>
  <si>
    <t>Equity Investments</t>
  </si>
  <si>
    <t>Other Financial Assets</t>
  </si>
  <si>
    <t>Trade &amp; A/R</t>
  </si>
  <si>
    <t>Deferred Taxes</t>
  </si>
  <si>
    <t>Total NCA</t>
  </si>
  <si>
    <t>Current Taxes</t>
  </si>
  <si>
    <t>Assets Held For Sale</t>
  </si>
  <si>
    <t>Assets</t>
  </si>
  <si>
    <t>Trade &amp; A/P</t>
  </si>
  <si>
    <t>Borrowings</t>
  </si>
  <si>
    <t>Provisions</t>
  </si>
  <si>
    <t>Deferred Income</t>
  </si>
  <si>
    <t>Liabilities</t>
  </si>
  <si>
    <t>Post-employment</t>
  </si>
  <si>
    <t>Liabilities Held For Sale</t>
  </si>
  <si>
    <t>TCL</t>
  </si>
  <si>
    <t>S/E</t>
  </si>
  <si>
    <t>S/E+L</t>
  </si>
  <si>
    <t>Book Value</t>
  </si>
  <si>
    <t>Book Value per Share</t>
  </si>
  <si>
    <t>-</t>
  </si>
  <si>
    <t>Develops accounting, CRM &amp; logistics tools for businesses</t>
  </si>
  <si>
    <t>Key Events</t>
  </si>
  <si>
    <t>Company Info</t>
  </si>
  <si>
    <t>3rd largest ERP supplier behind Oracle &amp; SAP</t>
  </si>
  <si>
    <t>Andrew Duff</t>
  </si>
  <si>
    <t>Share Price</t>
  </si>
  <si>
    <t>Market Cap</t>
  </si>
  <si>
    <t>Tax Rate</t>
  </si>
  <si>
    <t>Derivative Financial Instruments</t>
  </si>
  <si>
    <t>H123</t>
  </si>
  <si>
    <t>EV/S</t>
  </si>
  <si>
    <t>IPO</t>
  </si>
  <si>
    <t>H223</t>
  </si>
  <si>
    <t>EV/E</t>
  </si>
  <si>
    <t>Maturity Rate</t>
  </si>
  <si>
    <t>Discount Rate</t>
  </si>
  <si>
    <t>NPV</t>
  </si>
  <si>
    <t>Total Value</t>
  </si>
  <si>
    <t>Per Share</t>
  </si>
  <si>
    <t>Current SP</t>
  </si>
  <si>
    <t>Upside</t>
  </si>
  <si>
    <t>Non-Finance Metrics</t>
  </si>
  <si>
    <t>Employees</t>
  </si>
  <si>
    <t>Emply.</t>
  </si>
  <si>
    <t>Sage acquires supply-chain software platform Anvyl</t>
  </si>
  <si>
    <t>Sage acquires French company Infineo who specialise in SMB accounting, financial, HR &amp; payroll</t>
  </si>
  <si>
    <t>H124</t>
  </si>
  <si>
    <t>North America</t>
  </si>
  <si>
    <t>UK &amp; Ireland</t>
  </si>
  <si>
    <t>Europe</t>
  </si>
  <si>
    <t>Africa &amp; APAC</t>
  </si>
  <si>
    <t>Employees Y/Y</t>
  </si>
  <si>
    <t>Cashflow Statement</t>
  </si>
  <si>
    <t>CFFO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</si>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</sst>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b/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sz val="10"/>
      <color theme="4"/>
      <name val="Arial"/>
      <family val="2"/>
    </font>
    <font>
      <i/>
      <sz val="1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5" fillId="0" borderId="0" xfId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2" fillId="5" borderId="0" xfId="0" applyFont="1" applyFill="1"/>
    <xf numFmtId="9" fontId="1" fillId="0" borderId="0" xfId="0" applyNumberFormat="1" applyFont="1"/>
    <xf numFmtId="3" fontId="1" fillId="0" borderId="0" xfId="0" applyNumberFormat="1" applyFont="1"/>
    <xf numFmtId="3" fontId="1" fillId="5" borderId="0" xfId="0" applyNumberFormat="1" applyFont="1" applyFill="1"/>
    <xf numFmtId="0" fontId="8" fillId="0" borderId="0" xfId="0" applyFont="1"/>
    <xf numFmtId="3" fontId="2" fillId="0" borderId="0" xfId="0" applyNumberFormat="1" applyFont="1"/>
    <xf numFmtId="3" fontId="2" fillId="5" borderId="0" xfId="0" applyNumberFormat="1" applyFont="1" applyFill="1"/>
    <xf numFmtId="14" fontId="7" fillId="5" borderId="0" xfId="0" applyNumberFormat="1" applyFont="1" applyFill="1" applyAlignment="1">
      <alignment horizontal="right"/>
    </xf>
    <xf numFmtId="0" fontId="9" fillId="0" borderId="0" xfId="0" applyFont="1"/>
    <xf numFmtId="3" fontId="9" fillId="0" borderId="0" xfId="0" applyNumberFormat="1" applyFont="1"/>
    <xf numFmtId="3" fontId="9" fillId="5" borderId="0" xfId="0" applyNumberFormat="1" applyFont="1" applyFill="1"/>
    <xf numFmtId="9" fontId="2" fillId="0" borderId="0" xfId="0" applyNumberFormat="1" applyFont="1"/>
    <xf numFmtId="9" fontId="1" fillId="5" borderId="0" xfId="0" applyNumberFormat="1" applyFont="1" applyFill="1"/>
    <xf numFmtId="15" fontId="7" fillId="5" borderId="0" xfId="0" applyNumberFormat="1" applyFont="1" applyFill="1" applyAlignment="1">
      <alignment horizontal="right"/>
    </xf>
    <xf numFmtId="0" fontId="1" fillId="4" borderId="4" xfId="0" applyFont="1" applyFill="1" applyBorder="1"/>
    <xf numFmtId="0" fontId="1" fillId="4" borderId="6" xfId="0" applyFont="1" applyFill="1" applyBorder="1"/>
    <xf numFmtId="2" fontId="1" fillId="0" borderId="0" xfId="0" applyNumberFormat="1" applyFont="1"/>
    <xf numFmtId="165" fontId="1" fillId="0" borderId="0" xfId="0" applyNumberFormat="1" applyFont="1"/>
    <xf numFmtId="9" fontId="2" fillId="0" borderId="0" xfId="0" applyNumberFormat="1" applyFont="1" applyAlignment="1">
      <alignment horizontal="right"/>
    </xf>
    <xf numFmtId="9" fontId="2" fillId="5" borderId="0" xfId="0" applyNumberFormat="1" applyFont="1" applyFill="1" applyAlignment="1">
      <alignment horizontal="right"/>
    </xf>
    <xf numFmtId="9" fontId="2" fillId="5" borderId="0" xfId="0" applyNumberFormat="1" applyFont="1" applyFill="1"/>
    <xf numFmtId="166" fontId="1" fillId="0" borderId="0" xfId="0" applyNumberFormat="1" applyFont="1"/>
    <xf numFmtId="166" fontId="1" fillId="5" borderId="0" xfId="0" applyNumberFormat="1" applyFont="1" applyFill="1"/>
    <xf numFmtId="0" fontId="1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3" fontId="11" fillId="0" borderId="0" xfId="0" applyNumberFormat="1" applyFont="1"/>
    <xf numFmtId="166" fontId="9" fillId="0" borderId="0" xfId="0" applyNumberFormat="1" applyFont="1"/>
    <xf numFmtId="9" fontId="9" fillId="0" borderId="0" xfId="0" applyNumberFormat="1" applyFont="1"/>
    <xf numFmtId="9" fontId="11" fillId="0" borderId="0" xfId="0" applyNumberFormat="1" applyFont="1"/>
    <xf numFmtId="0" fontId="11" fillId="0" borderId="0" xfId="0" applyFont="1"/>
    <xf numFmtId="0" fontId="1" fillId="3" borderId="1" xfId="0" applyFont="1" applyFill="1" applyBorder="1"/>
    <xf numFmtId="9" fontId="1" fillId="0" borderId="3" xfId="0" applyNumberFormat="1" applyFont="1" applyBorder="1"/>
    <xf numFmtId="0" fontId="1" fillId="3" borderId="4" xfId="0" applyFont="1" applyFill="1" applyBorder="1"/>
    <xf numFmtId="9" fontId="1" fillId="0" borderId="5" xfId="0" applyNumberFormat="1" applyFont="1" applyBorder="1"/>
    <xf numFmtId="2" fontId="1" fillId="0" borderId="5" xfId="0" applyNumberFormat="1" applyFont="1" applyBorder="1"/>
    <xf numFmtId="0" fontId="1" fillId="3" borderId="6" xfId="0" applyFont="1" applyFill="1" applyBorder="1"/>
    <xf numFmtId="9" fontId="1" fillId="0" borderId="8" xfId="0" applyNumberFormat="1" applyFont="1" applyBorder="1"/>
    <xf numFmtId="4" fontId="2" fillId="0" borderId="5" xfId="0" applyNumberFormat="1" applyFont="1" applyBorder="1"/>
    <xf numFmtId="3" fontId="1" fillId="0" borderId="5" xfId="0" applyNumberFormat="1" applyFont="1" applyBorder="1"/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7" fontId="2" fillId="3" borderId="4" xfId="0" applyNumberFormat="1" applyFont="1" applyFill="1" applyBorder="1" applyAlignment="1">
      <alignment horizontal="center"/>
    </xf>
    <xf numFmtId="3" fontId="12" fillId="0" borderId="0" xfId="0" applyNumberFormat="1" applyFont="1" applyAlignment="1">
      <alignment horizontal="left" indent="1"/>
    </xf>
    <xf numFmtId="3" fontId="12" fillId="0" borderId="0" xfId="0" applyNumberFormat="1" applyFont="1"/>
    <xf numFmtId="3" fontId="12" fillId="5" borderId="0" xfId="0" applyNumberFormat="1" applyFont="1" applyFill="1"/>
    <xf numFmtId="0" fontId="13" fillId="0" borderId="0" xfId="0" applyFont="1"/>
    <xf numFmtId="0" fontId="13" fillId="5" borderId="0" xfId="0" applyFont="1" applyFill="1"/>
    <xf numFmtId="0" fontId="14" fillId="0" borderId="0" xfId="0" applyFont="1"/>
    <xf numFmtId="9" fontId="13" fillId="0" borderId="0" xfId="0" applyNumberFormat="1" applyFont="1"/>
    <xf numFmtId="3" fontId="2" fillId="0" borderId="0" xfId="0" applyNumberFormat="1" applyFont="1" applyAlignment="1">
      <alignment horizontal="right"/>
    </xf>
    <xf numFmtId="165" fontId="1" fillId="5" borderId="0" xfId="0" applyNumberFormat="1" applyFont="1" applyFill="1"/>
    <xf numFmtId="165" fontId="9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1026" name="AutoShape 2" descr="Sage UK - Software &amp; Solutions for Every Business">
          <a:extLst>
            <a:ext uri="{FF2B5EF4-FFF2-40B4-BE49-F238E27FC236}">
              <a16:creationId xmlns:a16="http://schemas.microsoft.com/office/drawing/2014/main" id="{2FB6AE3C-B809-49B3-BE41-0B1FCF67C26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239649</xdr:colOff>
      <xdr:row>0</xdr:row>
      <xdr:rowOff>90529</xdr:rowOff>
    </xdr:from>
    <xdr:to>
      <xdr:col>5</xdr:col>
      <xdr:colOff>204153</xdr:colOff>
      <xdr:row>3</xdr:row>
      <xdr:rowOff>38101</xdr:rowOff>
    </xdr:to>
    <xdr:pic>
      <xdr:nvPicPr>
        <xdr:cNvPr id="4" name="Picture 3" descr="File:Sage logo.svg - Wikimedia Commons">
          <a:extLst>
            <a:ext uri="{FF2B5EF4-FFF2-40B4-BE49-F238E27FC236}">
              <a16:creationId xmlns:a16="http://schemas.microsoft.com/office/drawing/2014/main" id="{8DD10BC8-979C-4079-A5E3-36CE13D7D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449" y="90529"/>
          <a:ext cx="1183704" cy="461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15875</xdr:colOff>
      <xdr:row>0</xdr:row>
      <xdr:rowOff>0</xdr:rowOff>
    </xdr:from>
    <xdr:to>
      <xdr:col>13</xdr:col>
      <xdr:colOff>15875</xdr:colOff>
      <xdr:row>90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7E07975-245C-4BFE-B1DD-0534187AAC82}"/>
            </a:ext>
          </a:extLst>
        </xdr:cNvPr>
        <xdr:cNvCxnSpPr/>
      </xdr:nvCxnSpPr>
      <xdr:spPr>
        <a:xfrm>
          <a:off x="8778875" y="0"/>
          <a:ext cx="0" cy="140874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0</xdr:row>
      <xdr:rowOff>0</xdr:rowOff>
    </xdr:from>
    <xdr:to>
      <xdr:col>23</xdr:col>
      <xdr:colOff>19050</xdr:colOff>
      <xdr:row>91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98C6985-0B18-480F-B427-89E27B1B66DD}"/>
            </a:ext>
          </a:extLst>
        </xdr:cNvPr>
        <xdr:cNvCxnSpPr/>
      </xdr:nvCxnSpPr>
      <xdr:spPr>
        <a:xfrm>
          <a:off x="14878050" y="0"/>
          <a:ext cx="0" cy="143256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ge.com/investor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Downloads/sage-annual-report-2023.pdf" TargetMode="External"/><Relationship Id="rId3" Type="http://schemas.openxmlformats.org/officeDocument/2006/relationships/hyperlink" Target="https://www.sage.com/investors/-/media/files/investors/documents/pdf/downloads/results/full%20year%202021%20results/full%20year%202021%20results%20press%20release.pdf" TargetMode="External"/><Relationship Id="rId7" Type="http://schemas.openxmlformats.org/officeDocument/2006/relationships/hyperlink" Target="https://www.sage.com/investors/-/media/files/investors/documents/pdf/downloads/results/half%20year%202024%20results/half%20year%202024%20results%20press%20release.pdf" TargetMode="External"/><Relationship Id="rId2" Type="http://schemas.openxmlformats.org/officeDocument/2006/relationships/hyperlink" Target="https://www.sage.com/investors/-/media/files/investors/documents/pdf/downloads/results/half%20year%202020%20results/half%20year%202020%20results%20press%20release.pdf" TargetMode="External"/><Relationship Id="rId1" Type="http://schemas.openxmlformats.org/officeDocument/2006/relationships/hyperlink" Target="https://www.sage.com/investors/-/media/files/investors/documents/pdf/downloads/results/half%20year%202022%20results/half%20year%202022%20results%20press%20release.pdf" TargetMode="External"/><Relationship Id="rId6" Type="http://schemas.openxmlformats.org/officeDocument/2006/relationships/hyperlink" Target="../../../Downloads/Half%20Year%202023%20Results%20press%20release.pdf" TargetMode="External"/><Relationship Id="rId5" Type="http://schemas.openxmlformats.org/officeDocument/2006/relationships/hyperlink" Target="https://www.sage.com/investors/-/media/files/investors/documents/pdf/downloads/results/full%20year%202022%20results/full%20year%202022%20press%20release.pdf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sage.com/investors/-/media/files/investors/documents/pdf/downloads/results/full%20year%202019%20results/full%20year%202019%20results%20press%20release.pdf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BB21-6927-4998-A7CD-B755108AED34}">
  <dimension ref="A2:X36"/>
  <sheetViews>
    <sheetView tabSelected="1" workbookViewId="0">
      <selection activeCell="C32" sqref="C32:D32"/>
    </sheetView>
  </sheetViews>
  <sheetFormatPr defaultColWidth="9.140625" defaultRowHeight="12.75" x14ac:dyDescent="0.2"/>
  <cols>
    <col min="1" max="16384" width="9.140625" style="1"/>
  </cols>
  <sheetData>
    <row r="2" spans="1:24" ht="15" x14ac:dyDescent="0.25">
      <c r="B2" s="3" t="s">
        <v>0</v>
      </c>
      <c r="F2"/>
      <c r="G2" s="83" t="s">
        <v>93</v>
      </c>
      <c r="H2" s="83"/>
      <c r="I2" s="83"/>
      <c r="J2" s="83"/>
      <c r="K2" s="83"/>
      <c r="L2" s="83"/>
    </row>
    <row r="3" spans="1:24" x14ac:dyDescent="0.2">
      <c r="B3" s="2" t="s">
        <v>1</v>
      </c>
    </row>
    <row r="5" spans="1:24" x14ac:dyDescent="0.2">
      <c r="B5" s="77" t="s">
        <v>2</v>
      </c>
      <c r="C5" s="78"/>
      <c r="D5" s="79"/>
      <c r="H5" s="77" t="s">
        <v>94</v>
      </c>
      <c r="I5" s="78"/>
      <c r="J5" s="78"/>
      <c r="K5" s="78"/>
      <c r="L5" s="78"/>
      <c r="M5" s="78"/>
      <c r="N5" s="78"/>
      <c r="O5" s="78"/>
      <c r="P5" s="78"/>
      <c r="Q5" s="79"/>
      <c r="T5" s="77" t="s">
        <v>95</v>
      </c>
      <c r="U5" s="78"/>
      <c r="V5" s="78"/>
      <c r="W5" s="78"/>
      <c r="X5" s="79"/>
    </row>
    <row r="6" spans="1:24" x14ac:dyDescent="0.2">
      <c r="B6" s="4" t="s">
        <v>3</v>
      </c>
      <c r="C6" s="46">
        <v>9.8859999999999992</v>
      </c>
      <c r="D6" s="14"/>
      <c r="H6" s="12"/>
      <c r="I6" s="7"/>
      <c r="J6" s="7"/>
      <c r="K6" s="7"/>
      <c r="L6" s="7"/>
      <c r="M6" s="7"/>
      <c r="N6" s="7"/>
      <c r="O6" s="7"/>
      <c r="P6" s="7"/>
      <c r="Q6" s="8"/>
      <c r="T6" s="44" t="s">
        <v>96</v>
      </c>
      <c r="U6" s="7"/>
      <c r="V6" s="7"/>
      <c r="W6" s="7"/>
      <c r="X6" s="8"/>
    </row>
    <row r="7" spans="1:24" x14ac:dyDescent="0.2">
      <c r="B7" s="4" t="s">
        <v>4</v>
      </c>
      <c r="C7" s="16">
        <f>'Financial Model'!M15</f>
        <v>1016</v>
      </c>
      <c r="D7" s="14" t="str">
        <f>+$C$27</f>
        <v>H124</v>
      </c>
      <c r="H7" s="84">
        <v>45566</v>
      </c>
      <c r="I7" s="7" t="s">
        <v>117</v>
      </c>
      <c r="J7" s="7"/>
      <c r="K7" s="7"/>
      <c r="L7" s="7"/>
      <c r="M7" s="7"/>
      <c r="N7" s="7"/>
      <c r="O7" s="7"/>
      <c r="P7" s="7"/>
      <c r="Q7" s="8"/>
      <c r="T7" s="44"/>
      <c r="U7" s="7"/>
      <c r="V7" s="7"/>
      <c r="W7" s="7"/>
      <c r="X7" s="8"/>
    </row>
    <row r="8" spans="1:24" x14ac:dyDescent="0.2">
      <c r="B8" s="4" t="s">
        <v>5</v>
      </c>
      <c r="C8" s="16">
        <f>C6*C7</f>
        <v>10044.175999999999</v>
      </c>
      <c r="D8" s="14"/>
      <c r="H8" s="12"/>
      <c r="I8" s="7"/>
      <c r="J8" s="7"/>
      <c r="K8" s="7"/>
      <c r="L8" s="7"/>
      <c r="M8" s="7"/>
      <c r="N8" s="7"/>
      <c r="O8" s="7"/>
      <c r="P8" s="7"/>
      <c r="Q8" s="8"/>
      <c r="T8" s="44"/>
      <c r="U8" s="7"/>
      <c r="V8" s="7"/>
      <c r="W8" s="7"/>
      <c r="X8" s="8"/>
    </row>
    <row r="9" spans="1:24" x14ac:dyDescent="0.2">
      <c r="B9" s="4" t="s">
        <v>6</v>
      </c>
      <c r="C9" s="16">
        <f>'Financial Model'!M70</f>
        <v>467</v>
      </c>
      <c r="D9" s="14" t="str">
        <f t="shared" ref="D9:D11" si="0">+$C$27</f>
        <v>H124</v>
      </c>
      <c r="H9" s="84">
        <v>45536</v>
      </c>
      <c r="I9" s="7" t="s">
        <v>118</v>
      </c>
      <c r="J9" s="7"/>
      <c r="K9" s="7"/>
      <c r="L9" s="7"/>
      <c r="M9" s="7"/>
      <c r="N9" s="7"/>
      <c r="O9" s="7"/>
      <c r="P9" s="7"/>
      <c r="Q9" s="8"/>
      <c r="T9" s="44"/>
      <c r="U9" s="7"/>
      <c r="V9" s="7"/>
      <c r="W9" s="7"/>
      <c r="X9" s="8"/>
    </row>
    <row r="10" spans="1:24" x14ac:dyDescent="0.2">
      <c r="B10" s="4" t="s">
        <v>7</v>
      </c>
      <c r="C10" s="16">
        <f>'Financial Model'!M71</f>
        <v>1259</v>
      </c>
      <c r="D10" s="14" t="str">
        <f t="shared" si="0"/>
        <v>H124</v>
      </c>
      <c r="H10" s="12"/>
      <c r="I10" s="7"/>
      <c r="J10" s="7"/>
      <c r="K10" s="7"/>
      <c r="L10" s="7"/>
      <c r="M10" s="7"/>
      <c r="N10" s="7"/>
      <c r="O10" s="7"/>
      <c r="P10" s="7"/>
      <c r="Q10" s="8"/>
      <c r="T10" s="44"/>
      <c r="U10" s="7"/>
      <c r="V10" s="7"/>
      <c r="W10" s="7"/>
      <c r="X10" s="8"/>
    </row>
    <row r="11" spans="1:24" x14ac:dyDescent="0.2">
      <c r="B11" s="4" t="s">
        <v>8</v>
      </c>
      <c r="C11" s="16">
        <f>C9-C10</f>
        <v>-792</v>
      </c>
      <c r="D11" s="14" t="str">
        <f t="shared" si="0"/>
        <v>H124</v>
      </c>
      <c r="H11" s="12"/>
      <c r="I11" s="7"/>
      <c r="J11" s="7"/>
      <c r="K11" s="7"/>
      <c r="L11" s="7"/>
      <c r="M11" s="7"/>
      <c r="N11" s="7"/>
      <c r="O11" s="7"/>
      <c r="P11" s="7"/>
      <c r="Q11" s="8"/>
      <c r="T11" s="44"/>
      <c r="U11" s="7"/>
      <c r="V11" s="7"/>
      <c r="W11" s="7"/>
      <c r="X11" s="8"/>
    </row>
    <row r="12" spans="1:24" x14ac:dyDescent="0.2">
      <c r="B12" s="5" t="s">
        <v>9</v>
      </c>
      <c r="C12" s="17">
        <f>C8-C11</f>
        <v>10836.175999999999</v>
      </c>
      <c r="D12" s="15"/>
      <c r="H12" s="12"/>
      <c r="I12" s="7"/>
      <c r="J12" s="7"/>
      <c r="K12" s="7"/>
      <c r="L12" s="7"/>
      <c r="M12" s="7"/>
      <c r="N12" s="7"/>
      <c r="O12" s="7"/>
      <c r="P12" s="7"/>
      <c r="Q12" s="8"/>
      <c r="T12" s="44"/>
      <c r="U12" s="7"/>
      <c r="V12" s="7"/>
      <c r="W12" s="7"/>
      <c r="X12" s="8"/>
    </row>
    <row r="13" spans="1:24" x14ac:dyDescent="0.2">
      <c r="H13" s="12"/>
      <c r="I13" s="7"/>
      <c r="J13" s="7"/>
      <c r="K13" s="7"/>
      <c r="L13" s="7"/>
      <c r="M13" s="7"/>
      <c r="N13" s="7"/>
      <c r="O13" s="7"/>
      <c r="P13" s="7"/>
      <c r="Q13" s="8"/>
      <c r="T13" s="45"/>
      <c r="U13" s="10"/>
      <c r="V13" s="10"/>
      <c r="W13" s="10"/>
      <c r="X13" s="11"/>
    </row>
    <row r="14" spans="1:24" x14ac:dyDescent="0.2">
      <c r="H14" s="12"/>
      <c r="I14" s="7"/>
      <c r="J14" s="7"/>
      <c r="K14" s="7"/>
      <c r="L14" s="7"/>
      <c r="M14" s="7"/>
      <c r="N14" s="7"/>
      <c r="O14" s="7"/>
      <c r="P14" s="7"/>
      <c r="Q14" s="8"/>
    </row>
    <row r="15" spans="1:24" x14ac:dyDescent="0.2">
      <c r="B15" s="77" t="s">
        <v>10</v>
      </c>
      <c r="C15" s="78"/>
      <c r="D15" s="79"/>
      <c r="H15" s="12"/>
      <c r="I15" s="7"/>
      <c r="J15" s="7"/>
      <c r="K15" s="7"/>
      <c r="L15" s="7"/>
      <c r="M15" s="7"/>
      <c r="N15" s="7"/>
      <c r="O15" s="7"/>
      <c r="P15" s="7"/>
      <c r="Q15" s="8"/>
    </row>
    <row r="16" spans="1:24" x14ac:dyDescent="0.2">
      <c r="A16" s="19" t="s">
        <v>26</v>
      </c>
      <c r="B16" s="6" t="s">
        <v>11</v>
      </c>
      <c r="C16" s="73" t="s">
        <v>24</v>
      </c>
      <c r="D16" s="74"/>
      <c r="E16" s="1" t="s">
        <v>25</v>
      </c>
      <c r="H16" s="12"/>
      <c r="I16" s="7"/>
      <c r="J16" s="7"/>
      <c r="K16" s="7"/>
      <c r="L16" s="7"/>
      <c r="M16" s="7"/>
      <c r="N16" s="7"/>
      <c r="O16" s="7"/>
      <c r="P16" s="7"/>
      <c r="Q16" s="8"/>
    </row>
    <row r="17" spans="1:17" x14ac:dyDescent="0.2">
      <c r="A17" s="19" t="s">
        <v>26</v>
      </c>
      <c r="B17" s="6" t="s">
        <v>12</v>
      </c>
      <c r="C17" s="73" t="s">
        <v>27</v>
      </c>
      <c r="D17" s="74"/>
      <c r="H17" s="12"/>
      <c r="I17" s="7"/>
      <c r="J17" s="7"/>
      <c r="K17" s="7"/>
      <c r="L17" s="7"/>
      <c r="M17" s="7"/>
      <c r="N17" s="7"/>
      <c r="O17" s="7"/>
      <c r="P17" s="7"/>
      <c r="Q17" s="8"/>
    </row>
    <row r="18" spans="1:17" x14ac:dyDescent="0.2">
      <c r="B18" s="6" t="s">
        <v>28</v>
      </c>
      <c r="C18" s="73" t="s">
        <v>29</v>
      </c>
      <c r="D18" s="74"/>
      <c r="H18" s="12"/>
      <c r="I18" s="7"/>
      <c r="J18" s="7"/>
      <c r="K18" s="7"/>
      <c r="L18" s="7"/>
      <c r="M18" s="7"/>
      <c r="N18" s="7"/>
      <c r="O18" s="7"/>
      <c r="P18" s="7"/>
      <c r="Q18" s="8"/>
    </row>
    <row r="19" spans="1:17" x14ac:dyDescent="0.2">
      <c r="B19" s="9" t="s">
        <v>13</v>
      </c>
      <c r="C19" s="75" t="s">
        <v>97</v>
      </c>
      <c r="D19" s="76"/>
      <c r="H19" s="12"/>
      <c r="I19" s="7"/>
      <c r="J19" s="7"/>
      <c r="K19" s="7"/>
      <c r="L19" s="7"/>
      <c r="M19" s="7"/>
      <c r="N19" s="7"/>
      <c r="O19" s="7"/>
      <c r="P19" s="7"/>
      <c r="Q19" s="8"/>
    </row>
    <row r="20" spans="1:17" x14ac:dyDescent="0.2">
      <c r="H20" s="12"/>
      <c r="I20" s="7"/>
      <c r="J20" s="7"/>
      <c r="K20" s="7"/>
      <c r="L20" s="7"/>
      <c r="M20" s="7"/>
      <c r="N20" s="7"/>
      <c r="O20" s="7"/>
      <c r="P20" s="7"/>
      <c r="Q20" s="8"/>
    </row>
    <row r="21" spans="1:17" x14ac:dyDescent="0.2">
      <c r="H21" s="12"/>
      <c r="I21" s="7"/>
      <c r="J21" s="7"/>
      <c r="K21" s="7"/>
      <c r="L21" s="7"/>
      <c r="M21" s="7"/>
      <c r="N21" s="7"/>
      <c r="O21" s="7"/>
      <c r="P21" s="7"/>
      <c r="Q21" s="8"/>
    </row>
    <row r="22" spans="1:17" x14ac:dyDescent="0.2">
      <c r="B22" s="77" t="s">
        <v>14</v>
      </c>
      <c r="C22" s="78"/>
      <c r="D22" s="79"/>
      <c r="H22" s="12"/>
      <c r="I22" s="7"/>
      <c r="J22" s="7"/>
      <c r="K22" s="7"/>
      <c r="L22" s="7"/>
      <c r="M22" s="7"/>
      <c r="N22" s="7"/>
      <c r="O22" s="7"/>
      <c r="P22" s="7"/>
      <c r="Q22" s="8"/>
    </row>
    <row r="23" spans="1:17" x14ac:dyDescent="0.2">
      <c r="B23" s="12" t="s">
        <v>15</v>
      </c>
      <c r="C23" s="73" t="s">
        <v>30</v>
      </c>
      <c r="D23" s="74"/>
      <c r="H23" s="12"/>
      <c r="I23" s="7"/>
      <c r="J23" s="7"/>
      <c r="K23" s="7"/>
      <c r="L23" s="7"/>
      <c r="M23" s="7"/>
      <c r="N23" s="7"/>
      <c r="O23" s="7"/>
      <c r="P23" s="7"/>
      <c r="Q23" s="8"/>
    </row>
    <row r="24" spans="1:17" x14ac:dyDescent="0.2">
      <c r="B24" s="12" t="s">
        <v>16</v>
      </c>
      <c r="C24" s="73">
        <v>1981</v>
      </c>
      <c r="D24" s="74"/>
      <c r="H24" s="12"/>
      <c r="I24" s="7"/>
      <c r="J24" s="7"/>
      <c r="K24" s="7"/>
      <c r="L24" s="7"/>
      <c r="M24" s="7"/>
      <c r="N24" s="7"/>
      <c r="O24" s="7"/>
      <c r="P24" s="7"/>
      <c r="Q24" s="8"/>
    </row>
    <row r="25" spans="1:17" x14ac:dyDescent="0.2">
      <c r="B25" s="12" t="s">
        <v>104</v>
      </c>
      <c r="C25" s="73">
        <v>1989</v>
      </c>
      <c r="D25" s="74"/>
      <c r="H25" s="12"/>
      <c r="I25" s="7"/>
      <c r="J25" s="7"/>
      <c r="K25" s="7"/>
      <c r="L25" s="7"/>
      <c r="M25" s="7"/>
      <c r="N25" s="7"/>
      <c r="O25" s="7"/>
      <c r="P25" s="7"/>
      <c r="Q25" s="8"/>
    </row>
    <row r="26" spans="1:17" x14ac:dyDescent="0.2">
      <c r="B26" s="12" t="s">
        <v>116</v>
      </c>
      <c r="C26" s="82">
        <f>+'Financial Model'!W27</f>
        <v>11565</v>
      </c>
      <c r="D26" s="74"/>
      <c r="H26" s="12"/>
      <c r="I26" s="7"/>
      <c r="J26" s="7"/>
      <c r="K26" s="7"/>
      <c r="L26" s="7"/>
      <c r="M26" s="7"/>
      <c r="N26" s="7"/>
      <c r="O26" s="7"/>
      <c r="P26" s="7"/>
      <c r="Q26" s="8"/>
    </row>
    <row r="27" spans="1:17" x14ac:dyDescent="0.2">
      <c r="B27" s="12" t="s">
        <v>17</v>
      </c>
      <c r="C27" s="18" t="s">
        <v>119</v>
      </c>
      <c r="D27" s="20">
        <f>+'Financial Model'!M3</f>
        <v>45428</v>
      </c>
      <c r="H27" s="12"/>
      <c r="I27" s="7"/>
      <c r="J27" s="7"/>
      <c r="K27" s="7"/>
      <c r="L27" s="7"/>
      <c r="M27" s="7"/>
      <c r="N27" s="7"/>
      <c r="O27" s="7"/>
      <c r="P27" s="7"/>
      <c r="Q27" s="8"/>
    </row>
    <row r="28" spans="1:17" x14ac:dyDescent="0.2">
      <c r="B28" s="13" t="s">
        <v>18</v>
      </c>
      <c r="C28" s="80" t="s">
        <v>19</v>
      </c>
      <c r="D28" s="81"/>
      <c r="H28" s="12"/>
      <c r="I28" s="7"/>
      <c r="J28" s="7"/>
      <c r="K28" s="7"/>
      <c r="L28" s="7"/>
      <c r="M28" s="7"/>
      <c r="N28" s="7"/>
      <c r="O28" s="7"/>
      <c r="P28" s="7"/>
      <c r="Q28" s="8"/>
    </row>
    <row r="29" spans="1:17" x14ac:dyDescent="0.2">
      <c r="H29" s="12"/>
      <c r="I29" s="7"/>
      <c r="J29" s="7"/>
      <c r="K29" s="7"/>
      <c r="L29" s="7"/>
      <c r="M29" s="7"/>
      <c r="N29" s="7"/>
      <c r="O29" s="7"/>
      <c r="P29" s="7"/>
      <c r="Q29" s="8"/>
    </row>
    <row r="30" spans="1:17" x14ac:dyDescent="0.2">
      <c r="H30" s="12"/>
      <c r="I30" s="7"/>
      <c r="J30" s="7"/>
      <c r="K30" s="7"/>
      <c r="L30" s="7"/>
      <c r="M30" s="7"/>
      <c r="N30" s="7"/>
      <c r="O30" s="7"/>
      <c r="P30" s="7"/>
      <c r="Q30" s="8"/>
    </row>
    <row r="31" spans="1:17" x14ac:dyDescent="0.2">
      <c r="B31" s="77" t="s">
        <v>20</v>
      </c>
      <c r="C31" s="78"/>
      <c r="D31" s="79"/>
      <c r="H31" s="12"/>
      <c r="I31" s="7"/>
      <c r="J31" s="7"/>
      <c r="K31" s="7"/>
      <c r="L31" s="7"/>
      <c r="M31" s="7"/>
      <c r="N31" s="7"/>
      <c r="O31" s="7"/>
      <c r="P31" s="7"/>
      <c r="Q31" s="8"/>
    </row>
    <row r="32" spans="1:17" x14ac:dyDescent="0.2">
      <c r="B32" s="12" t="s">
        <v>21</v>
      </c>
      <c r="C32" s="69">
        <f>C6/SUM('Financial Model'!L14:M14)</f>
        <v>26.149764972535884</v>
      </c>
      <c r="D32" s="70"/>
      <c r="H32" s="12"/>
      <c r="I32" s="7"/>
      <c r="J32" s="7"/>
      <c r="K32" s="7"/>
      <c r="L32" s="7"/>
      <c r="M32" s="7"/>
      <c r="N32" s="7"/>
      <c r="O32" s="7"/>
      <c r="P32" s="7"/>
      <c r="Q32" s="8"/>
    </row>
    <row r="33" spans="2:17" x14ac:dyDescent="0.2">
      <c r="B33" s="12" t="s">
        <v>22</v>
      </c>
      <c r="C33" s="69">
        <f>C8/SUM('Financial Model'!L4:M4)</f>
        <v>4.4660631391729657</v>
      </c>
      <c r="D33" s="70"/>
      <c r="H33" s="12"/>
      <c r="I33" s="7"/>
      <c r="J33" s="7"/>
      <c r="K33" s="7"/>
      <c r="L33" s="7"/>
      <c r="M33" s="7"/>
      <c r="N33" s="7"/>
      <c r="O33" s="7"/>
      <c r="P33" s="7"/>
      <c r="Q33" s="8"/>
    </row>
    <row r="34" spans="2:17" x14ac:dyDescent="0.2">
      <c r="B34" s="12" t="s">
        <v>23</v>
      </c>
      <c r="C34" s="69">
        <f>C6/'Financial Model'!M68</f>
        <v>9.2317794117647036</v>
      </c>
      <c r="D34" s="70"/>
      <c r="H34" s="13"/>
      <c r="I34" s="10"/>
      <c r="J34" s="10"/>
      <c r="K34" s="10"/>
      <c r="L34" s="10"/>
      <c r="M34" s="10"/>
      <c r="N34" s="10"/>
      <c r="O34" s="10"/>
      <c r="P34" s="10"/>
      <c r="Q34" s="11"/>
    </row>
    <row r="35" spans="2:17" x14ac:dyDescent="0.2">
      <c r="B35" s="12" t="s">
        <v>103</v>
      </c>
      <c r="C35" s="69">
        <f>C12/SUM('Financial Model'!L4:M4)</f>
        <v>4.8182196531791908</v>
      </c>
      <c r="D35" s="70"/>
    </row>
    <row r="36" spans="2:17" x14ac:dyDescent="0.2">
      <c r="B36" s="13" t="s">
        <v>106</v>
      </c>
      <c r="C36" s="71">
        <f>C12/SUM('Financial Model'!L13:M13)</f>
        <v>28.145911688311688</v>
      </c>
      <c r="D36" s="72"/>
    </row>
  </sheetData>
  <mergeCells count="21">
    <mergeCell ref="G2:L2"/>
    <mergeCell ref="H5:Q5"/>
    <mergeCell ref="T5:X5"/>
    <mergeCell ref="B31:D31"/>
    <mergeCell ref="C32:D32"/>
    <mergeCell ref="B5:D5"/>
    <mergeCell ref="B15:D15"/>
    <mergeCell ref="C35:D35"/>
    <mergeCell ref="C36:D36"/>
    <mergeCell ref="C33:D33"/>
    <mergeCell ref="C34:D34"/>
    <mergeCell ref="C16:D16"/>
    <mergeCell ref="C17:D17"/>
    <mergeCell ref="C18:D18"/>
    <mergeCell ref="C19:D19"/>
    <mergeCell ref="B22:D22"/>
    <mergeCell ref="C28:D28"/>
    <mergeCell ref="C26:D26"/>
    <mergeCell ref="C25:D25"/>
    <mergeCell ref="C24:D24"/>
    <mergeCell ref="C23:D23"/>
  </mergeCells>
  <hyperlinks>
    <hyperlink ref="C28:D28" r:id="rId1" display="Link" xr:uid="{E398FABE-A8E2-41B0-BEEF-891546DA9EBE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68F3-0B4D-4779-B224-181DBEE6F8C1}">
  <dimension ref="B1:BZ8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K81" sqref="K81"/>
    </sheetView>
  </sheetViews>
  <sheetFormatPr defaultColWidth="9.140625" defaultRowHeight="12.75" x14ac:dyDescent="0.2"/>
  <cols>
    <col min="1" max="1" width="5" style="1" customWidth="1"/>
    <col min="2" max="2" width="25.85546875" style="1" bestFit="1" customWidth="1"/>
    <col min="3" max="3" width="9.140625" style="1"/>
    <col min="4" max="4" width="9.140625" style="23"/>
    <col min="5" max="5" width="9.140625" style="1"/>
    <col min="6" max="6" width="9.140625" style="23"/>
    <col min="7" max="7" width="9.140625" style="1"/>
    <col min="8" max="8" width="9.140625" style="23"/>
    <col min="9" max="9" width="9.140625" style="1"/>
    <col min="10" max="10" width="9.140625" style="23"/>
    <col min="11" max="11" width="9.140625" style="1"/>
    <col min="12" max="12" width="9.140625" style="23"/>
    <col min="13" max="23" width="9.140625" style="1"/>
    <col min="24" max="31" width="9.140625" style="38"/>
    <col min="32" max="32" width="9.140625" style="1"/>
    <col min="33" max="33" width="12.7109375" style="1" bestFit="1" customWidth="1"/>
    <col min="34" max="16384" width="9.140625" style="1"/>
  </cols>
  <sheetData>
    <row r="1" spans="2:78" s="21" customFormat="1" x14ac:dyDescent="0.2">
      <c r="C1" s="21" t="s">
        <v>32</v>
      </c>
      <c r="D1" s="22" t="s">
        <v>33</v>
      </c>
      <c r="E1" s="24" t="s">
        <v>34</v>
      </c>
      <c r="F1" s="22" t="s">
        <v>35</v>
      </c>
      <c r="G1" s="21" t="s">
        <v>38</v>
      </c>
      <c r="H1" s="22" t="s">
        <v>36</v>
      </c>
      <c r="I1" s="24" t="s">
        <v>31</v>
      </c>
      <c r="J1" s="22" t="s">
        <v>37</v>
      </c>
      <c r="K1" s="24" t="s">
        <v>102</v>
      </c>
      <c r="L1" s="22" t="s">
        <v>105</v>
      </c>
      <c r="M1" s="24" t="s">
        <v>119</v>
      </c>
      <c r="R1" s="21" t="s">
        <v>55</v>
      </c>
      <c r="S1" s="24" t="s">
        <v>56</v>
      </c>
      <c r="T1" s="21" t="s">
        <v>57</v>
      </c>
      <c r="U1" s="24" t="s">
        <v>58</v>
      </c>
      <c r="V1" s="24" t="s">
        <v>59</v>
      </c>
      <c r="W1" s="24" t="s">
        <v>60</v>
      </c>
      <c r="X1" s="53" t="s">
        <v>61</v>
      </c>
      <c r="Y1" s="53" t="s">
        <v>62</v>
      </c>
      <c r="Z1" s="53" t="s">
        <v>63</v>
      </c>
      <c r="AA1" s="53" t="s">
        <v>64</v>
      </c>
      <c r="AB1" s="53" t="s">
        <v>65</v>
      </c>
      <c r="AC1" s="53" t="s">
        <v>66</v>
      </c>
      <c r="AD1" s="53" t="s">
        <v>67</v>
      </c>
      <c r="AE1" s="53" t="s">
        <v>68</v>
      </c>
    </row>
    <row r="2" spans="2:78" s="26" customFormat="1" x14ac:dyDescent="0.2">
      <c r="B2" s="25"/>
      <c r="C2" s="29">
        <v>43555</v>
      </c>
      <c r="D2" s="37">
        <v>43738</v>
      </c>
      <c r="E2" s="29">
        <v>43921</v>
      </c>
      <c r="F2" s="37">
        <f>T2</f>
        <v>44104</v>
      </c>
      <c r="G2" s="29">
        <v>44286</v>
      </c>
      <c r="H2" s="37">
        <v>44469</v>
      </c>
      <c r="I2" s="29">
        <v>44651</v>
      </c>
      <c r="J2" s="37">
        <f>V2</f>
        <v>44834</v>
      </c>
      <c r="K2" s="29">
        <v>45016</v>
      </c>
      <c r="L2" s="37">
        <f>W2</f>
        <v>45199</v>
      </c>
      <c r="M2" s="29">
        <v>45382</v>
      </c>
      <c r="R2" s="29">
        <v>43373</v>
      </c>
      <c r="S2" s="29">
        <v>43738</v>
      </c>
      <c r="T2" s="29">
        <v>44104</v>
      </c>
      <c r="U2" s="29">
        <v>44469</v>
      </c>
      <c r="V2" s="29">
        <v>44834</v>
      </c>
      <c r="W2" s="29">
        <v>45199</v>
      </c>
      <c r="X2" s="54"/>
      <c r="Y2" s="54"/>
      <c r="Z2" s="54"/>
      <c r="AA2" s="54"/>
      <c r="AB2" s="54"/>
      <c r="AC2" s="54"/>
      <c r="AD2" s="54"/>
      <c r="AE2" s="54"/>
    </row>
    <row r="3" spans="2:78" s="26" customFormat="1" x14ac:dyDescent="0.2">
      <c r="B3" s="25"/>
      <c r="D3" s="43">
        <f>S3</f>
        <v>43789</v>
      </c>
      <c r="E3" s="28">
        <v>43964</v>
      </c>
      <c r="F3" s="27"/>
      <c r="H3" s="43">
        <f>U3</f>
        <v>44517</v>
      </c>
      <c r="I3" s="28">
        <v>44694</v>
      </c>
      <c r="J3" s="43">
        <v>44881</v>
      </c>
      <c r="K3" s="28">
        <v>45063</v>
      </c>
      <c r="L3" s="43">
        <f>W3</f>
        <v>45252</v>
      </c>
      <c r="M3" s="28">
        <v>45428</v>
      </c>
      <c r="S3" s="28">
        <v>43789</v>
      </c>
      <c r="U3" s="28">
        <v>44517</v>
      </c>
      <c r="V3" s="28">
        <v>44881</v>
      </c>
      <c r="W3" s="28">
        <v>45252</v>
      </c>
      <c r="X3" s="54"/>
      <c r="Y3" s="54"/>
      <c r="Z3" s="54"/>
      <c r="AA3" s="54"/>
      <c r="AB3" s="54"/>
      <c r="AC3" s="54"/>
      <c r="AD3" s="54"/>
      <c r="AE3" s="54"/>
    </row>
    <row r="4" spans="2:78" s="2" customFormat="1" x14ac:dyDescent="0.2">
      <c r="B4" s="2" t="s">
        <v>39</v>
      </c>
      <c r="C4" s="2">
        <v>957</v>
      </c>
      <c r="D4" s="36">
        <f>S4-C4</f>
        <v>979</v>
      </c>
      <c r="E4" s="2">
        <v>975</v>
      </c>
      <c r="F4" s="36">
        <f>T4-E4</f>
        <v>928</v>
      </c>
      <c r="G4" s="2">
        <v>937</v>
      </c>
      <c r="H4" s="36">
        <f>U4-G4</f>
        <v>909</v>
      </c>
      <c r="I4" s="2">
        <v>934</v>
      </c>
      <c r="J4" s="36">
        <f>V4-I4</f>
        <v>1013</v>
      </c>
      <c r="K4" s="35">
        <v>1087</v>
      </c>
      <c r="L4" s="36">
        <f>W4-K4</f>
        <v>1097</v>
      </c>
      <c r="M4" s="35">
        <v>1152</v>
      </c>
      <c r="N4" s="35">
        <f>M4*(1+N23)</f>
        <v>1209.6000000000001</v>
      </c>
      <c r="R4" s="35">
        <v>1846</v>
      </c>
      <c r="S4" s="35">
        <v>1936</v>
      </c>
      <c r="T4" s="35">
        <v>1903</v>
      </c>
      <c r="U4" s="35">
        <v>1846</v>
      </c>
      <c r="V4" s="35">
        <v>1947</v>
      </c>
      <c r="W4" s="35">
        <v>2184</v>
      </c>
      <c r="X4" s="55">
        <f>N4+M4</f>
        <v>2361.6000000000004</v>
      </c>
      <c r="Y4" s="55">
        <f t="shared" ref="X4:AE4" si="0">X4*(1+Y22)</f>
        <v>2456.0640000000003</v>
      </c>
      <c r="Z4" s="55">
        <f t="shared" si="0"/>
        <v>2529.7459200000003</v>
      </c>
      <c r="AA4" s="55">
        <f t="shared" si="0"/>
        <v>2580.3408384000004</v>
      </c>
      <c r="AB4" s="55">
        <f t="shared" si="0"/>
        <v>2631.9476551680004</v>
      </c>
      <c r="AC4" s="55">
        <f t="shared" si="0"/>
        <v>2684.5866082713605</v>
      </c>
      <c r="AD4" s="55">
        <f t="shared" si="0"/>
        <v>2738.2783404367879</v>
      </c>
      <c r="AE4" s="55">
        <f t="shared" si="0"/>
        <v>2793.0439072455238</v>
      </c>
    </row>
    <row r="5" spans="2:78" x14ac:dyDescent="0.2">
      <c r="B5" s="1" t="s">
        <v>40</v>
      </c>
      <c r="C5" s="1">
        <v>70</v>
      </c>
      <c r="D5" s="33">
        <f>S5-C5</f>
        <v>68</v>
      </c>
      <c r="E5" s="1">
        <v>64</v>
      </c>
      <c r="F5" s="33">
        <f>T5-E5</f>
        <v>62</v>
      </c>
      <c r="G5" s="1">
        <v>72</v>
      </c>
      <c r="H5" s="33">
        <f>U5-G5</f>
        <v>59</v>
      </c>
      <c r="I5" s="1">
        <v>68</v>
      </c>
      <c r="J5" s="33">
        <f>V5-I5</f>
        <v>70</v>
      </c>
      <c r="K5" s="32">
        <v>76</v>
      </c>
      <c r="L5" s="33">
        <f>W5-K5</f>
        <v>80</v>
      </c>
      <c r="M5" s="32">
        <v>82</v>
      </c>
      <c r="N5" s="32"/>
      <c r="R5" s="32">
        <v>130</v>
      </c>
      <c r="S5" s="32">
        <v>138</v>
      </c>
      <c r="T5" s="32">
        <v>126</v>
      </c>
      <c r="U5" s="32">
        <v>131</v>
      </c>
      <c r="V5" s="32">
        <v>138</v>
      </c>
      <c r="W5" s="32">
        <v>156</v>
      </c>
      <c r="X5" s="39">
        <f t="shared" ref="X5:AE5" si="1">X4-X6</f>
        <v>165.3119999999999</v>
      </c>
      <c r="Y5" s="39">
        <f t="shared" si="1"/>
        <v>171.92447999999968</v>
      </c>
      <c r="Z5" s="39">
        <f t="shared" si="1"/>
        <v>177.08221439999988</v>
      </c>
      <c r="AA5" s="39">
        <f t="shared" si="1"/>
        <v>180.62385868799993</v>
      </c>
      <c r="AB5" s="39">
        <f t="shared" si="1"/>
        <v>184.23633586175993</v>
      </c>
      <c r="AC5" s="39">
        <f t="shared" si="1"/>
        <v>187.92106257899513</v>
      </c>
      <c r="AD5" s="39">
        <f t="shared" si="1"/>
        <v>191.67948383057501</v>
      </c>
      <c r="AE5" s="39">
        <f t="shared" si="1"/>
        <v>195.51307350718662</v>
      </c>
    </row>
    <row r="6" spans="2:78" s="2" customFormat="1" x14ac:dyDescent="0.2">
      <c r="B6" s="2" t="s">
        <v>41</v>
      </c>
      <c r="C6" s="2">
        <f t="shared" ref="C6:L6" si="2">C4-C5</f>
        <v>887</v>
      </c>
      <c r="D6" s="36">
        <f t="shared" si="2"/>
        <v>911</v>
      </c>
      <c r="E6" s="2">
        <f t="shared" si="2"/>
        <v>911</v>
      </c>
      <c r="F6" s="36">
        <f t="shared" si="2"/>
        <v>866</v>
      </c>
      <c r="G6" s="2">
        <f t="shared" si="2"/>
        <v>865</v>
      </c>
      <c r="H6" s="36">
        <f t="shared" si="2"/>
        <v>850</v>
      </c>
      <c r="I6" s="2">
        <f t="shared" si="2"/>
        <v>866</v>
      </c>
      <c r="J6" s="36">
        <f t="shared" si="2"/>
        <v>943</v>
      </c>
      <c r="K6" s="35">
        <f t="shared" si="2"/>
        <v>1011</v>
      </c>
      <c r="L6" s="36">
        <f t="shared" si="2"/>
        <v>1017</v>
      </c>
      <c r="M6" s="35">
        <f t="shared" ref="M6" si="3">M4-M5</f>
        <v>1070</v>
      </c>
      <c r="N6" s="35"/>
      <c r="R6" s="35">
        <f>R4-R5</f>
        <v>1716</v>
      </c>
      <c r="S6" s="35">
        <f>S4-S5</f>
        <v>1798</v>
      </c>
      <c r="T6" s="35">
        <f>T4-T5</f>
        <v>1777</v>
      </c>
      <c r="U6" s="35">
        <f>U4-U5</f>
        <v>1715</v>
      </c>
      <c r="V6" s="35">
        <f>V4-V5</f>
        <v>1809</v>
      </c>
      <c r="W6" s="35">
        <f t="shared" ref="W6" si="4">W4-W5</f>
        <v>2028</v>
      </c>
      <c r="X6" s="55">
        <f t="shared" ref="X6:AE6" si="5">X4*X17</f>
        <v>2196.2880000000005</v>
      </c>
      <c r="Y6" s="55">
        <f t="shared" si="5"/>
        <v>2284.1395200000006</v>
      </c>
      <c r="Z6" s="55">
        <f t="shared" si="5"/>
        <v>2352.6637056000004</v>
      </c>
      <c r="AA6" s="55">
        <f t="shared" si="5"/>
        <v>2399.7169797120005</v>
      </c>
      <c r="AB6" s="55">
        <f t="shared" si="5"/>
        <v>2447.7113193062405</v>
      </c>
      <c r="AC6" s="55">
        <f t="shared" si="5"/>
        <v>2496.6655456923654</v>
      </c>
      <c r="AD6" s="55">
        <f t="shared" si="5"/>
        <v>2546.5988566062128</v>
      </c>
      <c r="AE6" s="55">
        <f t="shared" si="5"/>
        <v>2597.5308337383372</v>
      </c>
    </row>
    <row r="7" spans="2:78" x14ac:dyDescent="0.2">
      <c r="B7" s="1" t="s">
        <v>42</v>
      </c>
      <c r="C7" s="1">
        <v>677</v>
      </c>
      <c r="D7" s="33">
        <f>S7-C7</f>
        <v>739</v>
      </c>
      <c r="E7" s="1">
        <v>622</v>
      </c>
      <c r="F7" s="33">
        <f>T7-E7</f>
        <v>751</v>
      </c>
      <c r="G7" s="1">
        <v>662</v>
      </c>
      <c r="H7" s="33">
        <f>U7-G7</f>
        <v>680</v>
      </c>
      <c r="I7" s="1">
        <v>662</v>
      </c>
      <c r="J7" s="33">
        <f>V7-I7</f>
        <v>780</v>
      </c>
      <c r="K7" s="32">
        <v>854</v>
      </c>
      <c r="L7" s="33">
        <f>W7-K7</f>
        <v>718</v>
      </c>
      <c r="M7" s="32">
        <v>855</v>
      </c>
      <c r="N7" s="32"/>
      <c r="R7" s="32">
        <v>1289</v>
      </c>
      <c r="S7" s="32">
        <v>1416</v>
      </c>
      <c r="T7" s="32">
        <v>1373</v>
      </c>
      <c r="U7" s="32">
        <v>1342</v>
      </c>
      <c r="V7" s="32">
        <v>1442</v>
      </c>
      <c r="W7" s="32">
        <v>1572</v>
      </c>
      <c r="X7" s="39">
        <f t="shared" ref="X7:AE7" si="6">X6-X8</f>
        <v>1723.9680000000003</v>
      </c>
      <c r="Y7" s="39">
        <f t="shared" si="6"/>
        <v>1792.9267200000006</v>
      </c>
      <c r="Z7" s="39">
        <f t="shared" si="6"/>
        <v>1846.7145216000004</v>
      </c>
      <c r="AA7" s="39">
        <f t="shared" si="6"/>
        <v>1883.6488120320005</v>
      </c>
      <c r="AB7" s="39">
        <f t="shared" si="6"/>
        <v>1921.3217882726403</v>
      </c>
      <c r="AC7" s="39">
        <f t="shared" si="6"/>
        <v>1959.7482240380932</v>
      </c>
      <c r="AD7" s="39">
        <f t="shared" si="6"/>
        <v>1998.9431885188551</v>
      </c>
      <c r="AE7" s="39">
        <f t="shared" si="6"/>
        <v>2038.9220522892324</v>
      </c>
    </row>
    <row r="8" spans="2:78" s="2" customFormat="1" x14ac:dyDescent="0.2">
      <c r="B8" s="2" t="s">
        <v>43</v>
      </c>
      <c r="C8" s="2">
        <f t="shared" ref="C8:L8" si="7">C6-C7</f>
        <v>210</v>
      </c>
      <c r="D8" s="36">
        <f t="shared" si="7"/>
        <v>172</v>
      </c>
      <c r="E8" s="2">
        <f t="shared" si="7"/>
        <v>289</v>
      </c>
      <c r="F8" s="36">
        <f t="shared" si="7"/>
        <v>115</v>
      </c>
      <c r="G8" s="2">
        <f t="shared" si="7"/>
        <v>203</v>
      </c>
      <c r="H8" s="36">
        <f t="shared" si="7"/>
        <v>170</v>
      </c>
      <c r="I8" s="2">
        <f t="shared" si="7"/>
        <v>204</v>
      </c>
      <c r="J8" s="36">
        <f t="shared" si="7"/>
        <v>163</v>
      </c>
      <c r="K8" s="35">
        <f t="shared" si="7"/>
        <v>157</v>
      </c>
      <c r="L8" s="36">
        <f t="shared" si="7"/>
        <v>299</v>
      </c>
      <c r="M8" s="35">
        <f t="shared" ref="M8" si="8">M6-M7</f>
        <v>215</v>
      </c>
      <c r="N8" s="35"/>
      <c r="R8" s="35">
        <f>R6-R7</f>
        <v>427</v>
      </c>
      <c r="S8" s="35">
        <f>S6-S7</f>
        <v>382</v>
      </c>
      <c r="T8" s="35">
        <f>T6-T7</f>
        <v>404</v>
      </c>
      <c r="U8" s="35">
        <f>U6-U7</f>
        <v>373</v>
      </c>
      <c r="V8" s="35">
        <f>V6-V7</f>
        <v>367</v>
      </c>
      <c r="W8" s="35">
        <f t="shared" ref="W8" si="9">W6-W7</f>
        <v>456</v>
      </c>
      <c r="X8" s="55">
        <f t="shared" ref="X8:AE8" si="10">X4*X18</f>
        <v>472.32000000000011</v>
      </c>
      <c r="Y8" s="55">
        <f t="shared" si="10"/>
        <v>491.21280000000007</v>
      </c>
      <c r="Z8" s="55">
        <f t="shared" si="10"/>
        <v>505.94918400000006</v>
      </c>
      <c r="AA8" s="55">
        <f t="shared" si="10"/>
        <v>516.0681676800001</v>
      </c>
      <c r="AB8" s="55">
        <f t="shared" si="10"/>
        <v>526.38953103360006</v>
      </c>
      <c r="AC8" s="55">
        <f t="shared" si="10"/>
        <v>536.91732165427209</v>
      </c>
      <c r="AD8" s="55">
        <f t="shared" si="10"/>
        <v>547.65566808735764</v>
      </c>
      <c r="AE8" s="55">
        <f t="shared" si="10"/>
        <v>558.60878144910475</v>
      </c>
    </row>
    <row r="9" spans="2:78" x14ac:dyDescent="0.2">
      <c r="B9" s="1" t="s">
        <v>44</v>
      </c>
      <c r="C9" s="1">
        <v>4</v>
      </c>
      <c r="D9" s="33">
        <f>S9-C9</f>
        <v>4</v>
      </c>
      <c r="E9" s="1">
        <v>2</v>
      </c>
      <c r="F9" s="33">
        <f>T9-E9</f>
        <v>1</v>
      </c>
      <c r="G9" s="1">
        <v>1</v>
      </c>
      <c r="H9" s="33">
        <f>U9-G9</f>
        <v>0</v>
      </c>
      <c r="I9" s="1">
        <v>0</v>
      </c>
      <c r="J9" s="33">
        <f t="shared" ref="J9:J10" si="11">V9-I9</f>
        <v>1</v>
      </c>
      <c r="K9" s="32">
        <v>4</v>
      </c>
      <c r="L9" s="33">
        <f>W9-K9</f>
        <v>8</v>
      </c>
      <c r="M9" s="32">
        <v>10</v>
      </c>
      <c r="N9" s="32"/>
      <c r="R9" s="32">
        <v>5</v>
      </c>
      <c r="S9" s="32">
        <v>8</v>
      </c>
      <c r="T9" s="32">
        <v>3</v>
      </c>
      <c r="U9" s="32">
        <v>1</v>
      </c>
      <c r="V9" s="32">
        <v>1</v>
      </c>
      <c r="W9" s="32">
        <v>12</v>
      </c>
      <c r="X9" s="39">
        <f t="shared" ref="X9:AE9" si="12">AVERAGE(S9:W9)</f>
        <v>5</v>
      </c>
      <c r="Y9" s="39">
        <f t="shared" si="12"/>
        <v>4.4000000000000004</v>
      </c>
      <c r="Z9" s="39">
        <f t="shared" si="12"/>
        <v>4.68</v>
      </c>
      <c r="AA9" s="39">
        <f t="shared" si="12"/>
        <v>5.4159999999999995</v>
      </c>
      <c r="AB9" s="39">
        <f t="shared" si="12"/>
        <v>6.2991999999999999</v>
      </c>
      <c r="AC9" s="39">
        <f t="shared" si="12"/>
        <v>5.1590399999999992</v>
      </c>
      <c r="AD9" s="39">
        <f t="shared" si="12"/>
        <v>5.1908479999999999</v>
      </c>
      <c r="AE9" s="39">
        <f t="shared" si="12"/>
        <v>5.3490175999999998</v>
      </c>
    </row>
    <row r="10" spans="2:78" x14ac:dyDescent="0.2">
      <c r="B10" s="1" t="s">
        <v>45</v>
      </c>
      <c r="C10" s="1">
        <v>16</v>
      </c>
      <c r="D10" s="33">
        <f>S10-C10</f>
        <v>13</v>
      </c>
      <c r="E10" s="1">
        <v>16</v>
      </c>
      <c r="F10" s="33">
        <f>T10-E10</f>
        <v>18</v>
      </c>
      <c r="G10" s="1">
        <v>14</v>
      </c>
      <c r="H10" s="33">
        <f>U10-G10</f>
        <v>13</v>
      </c>
      <c r="I10" s="1">
        <v>15</v>
      </c>
      <c r="J10" s="33">
        <f t="shared" si="11"/>
        <v>16</v>
      </c>
      <c r="K10" s="32">
        <v>22</v>
      </c>
      <c r="L10" s="33">
        <f>W10-K10</f>
        <v>22</v>
      </c>
      <c r="M10" s="32">
        <v>22</v>
      </c>
      <c r="N10" s="32"/>
      <c r="R10" s="32">
        <v>34</v>
      </c>
      <c r="S10" s="32">
        <v>29</v>
      </c>
      <c r="T10" s="32">
        <v>34</v>
      </c>
      <c r="U10" s="32">
        <v>27</v>
      </c>
      <c r="V10" s="32">
        <v>31</v>
      </c>
      <c r="W10" s="32">
        <v>44</v>
      </c>
      <c r="X10" s="39">
        <f t="shared" ref="X10" si="13">AVERAGE(S10:W10)</f>
        <v>33</v>
      </c>
      <c r="Y10" s="39">
        <f t="shared" ref="Y10" si="14">AVERAGE(T10:X10)</f>
        <v>33.799999999999997</v>
      </c>
      <c r="Z10" s="39">
        <f t="shared" ref="Z10" si="15">AVERAGE(U10:Y10)</f>
        <v>33.760000000000005</v>
      </c>
      <c r="AA10" s="39">
        <f t="shared" ref="AA10" si="16">AVERAGE(V10:Z10)</f>
        <v>35.112000000000002</v>
      </c>
      <c r="AB10" s="39">
        <f t="shared" ref="AB10" si="17">AVERAGE(W10:AA10)</f>
        <v>35.934399999999997</v>
      </c>
      <c r="AC10" s="39">
        <f t="shared" ref="AC10" si="18">AVERAGE(X10:AB10)</f>
        <v>34.321280000000002</v>
      </c>
      <c r="AD10" s="39">
        <f t="shared" ref="AD10" si="19">AVERAGE(Y10:AC10)</f>
        <v>34.585536000000005</v>
      </c>
      <c r="AE10" s="39">
        <f t="shared" ref="AE10" si="20">AVERAGE(Z10:AD10)</f>
        <v>34.742643199999996</v>
      </c>
    </row>
    <row r="11" spans="2:78" x14ac:dyDescent="0.2">
      <c r="B11" s="1" t="s">
        <v>46</v>
      </c>
      <c r="C11" s="1">
        <f t="shared" ref="C11:L11" si="21">C8+C9-C10</f>
        <v>198</v>
      </c>
      <c r="D11" s="33">
        <f t="shared" si="21"/>
        <v>163</v>
      </c>
      <c r="E11" s="1">
        <f t="shared" si="21"/>
        <v>275</v>
      </c>
      <c r="F11" s="33">
        <f t="shared" si="21"/>
        <v>98</v>
      </c>
      <c r="G11" s="1">
        <f t="shared" si="21"/>
        <v>190</v>
      </c>
      <c r="H11" s="33">
        <f t="shared" si="21"/>
        <v>157</v>
      </c>
      <c r="I11" s="1">
        <f t="shared" si="21"/>
        <v>189</v>
      </c>
      <c r="J11" s="33">
        <f t="shared" si="21"/>
        <v>148</v>
      </c>
      <c r="K11" s="32">
        <f t="shared" si="21"/>
        <v>139</v>
      </c>
      <c r="L11" s="33">
        <f t="shared" si="21"/>
        <v>285</v>
      </c>
      <c r="M11" s="32">
        <f t="shared" ref="M11" si="22">M8+M9-M10</f>
        <v>203</v>
      </c>
      <c r="N11" s="32"/>
      <c r="R11" s="32">
        <f t="shared" ref="R11:X11" si="23">R8+R9-R10</f>
        <v>398</v>
      </c>
      <c r="S11" s="32">
        <f t="shared" si="23"/>
        <v>361</v>
      </c>
      <c r="T11" s="32">
        <f t="shared" si="23"/>
        <v>373</v>
      </c>
      <c r="U11" s="32">
        <f t="shared" si="23"/>
        <v>347</v>
      </c>
      <c r="V11" s="32">
        <f t="shared" si="23"/>
        <v>337</v>
      </c>
      <c r="W11" s="32">
        <f t="shared" ref="W11" si="24">W8+W9-W10</f>
        <v>424</v>
      </c>
      <c r="X11" s="39">
        <f t="shared" si="23"/>
        <v>444.32000000000011</v>
      </c>
      <c r="Y11" s="39">
        <f t="shared" ref="Y11:AE11" si="25">Y8+Y9-Y10</f>
        <v>461.81280000000004</v>
      </c>
      <c r="Z11" s="39">
        <f t="shared" si="25"/>
        <v>476.86918400000008</v>
      </c>
      <c r="AA11" s="39">
        <f t="shared" si="25"/>
        <v>486.37216768000013</v>
      </c>
      <c r="AB11" s="39">
        <f t="shared" si="25"/>
        <v>496.75433103360012</v>
      </c>
      <c r="AC11" s="39">
        <f t="shared" si="25"/>
        <v>507.75508165427209</v>
      </c>
      <c r="AD11" s="39">
        <f t="shared" si="25"/>
        <v>518.26098008735755</v>
      </c>
      <c r="AE11" s="39">
        <f t="shared" si="25"/>
        <v>529.2151558491048</v>
      </c>
    </row>
    <row r="12" spans="2:78" x14ac:dyDescent="0.2">
      <c r="B12" s="1" t="s">
        <v>47</v>
      </c>
      <c r="C12" s="1">
        <v>44</v>
      </c>
      <c r="D12" s="33">
        <f>S12-C12</f>
        <v>51</v>
      </c>
      <c r="E12" s="1">
        <v>51</v>
      </c>
      <c r="F12" s="33">
        <f>T12-E12</f>
        <v>12</v>
      </c>
      <c r="G12" s="1">
        <v>44</v>
      </c>
      <c r="H12" s="33">
        <f>U12-G12</f>
        <v>18</v>
      </c>
      <c r="I12" s="1">
        <v>37</v>
      </c>
      <c r="J12" s="33">
        <f>V12-I12</f>
        <v>46</v>
      </c>
      <c r="K12" s="32">
        <v>39</v>
      </c>
      <c r="L12" s="33">
        <f>W12-K12</f>
        <v>56</v>
      </c>
      <c r="M12" s="32">
        <v>47</v>
      </c>
      <c r="N12" s="32"/>
      <c r="R12" s="32">
        <v>103</v>
      </c>
      <c r="S12" s="32">
        <v>95</v>
      </c>
      <c r="T12" s="32">
        <v>63</v>
      </c>
      <c r="U12" s="32">
        <v>62</v>
      </c>
      <c r="V12" s="32">
        <v>83</v>
      </c>
      <c r="W12" s="32">
        <v>95</v>
      </c>
      <c r="X12" s="39">
        <f>X11*X20</f>
        <v>111.08000000000003</v>
      </c>
      <c r="Y12" s="39">
        <f t="shared" ref="Y12:AE12" si="26">Y11*Y20</f>
        <v>115.45320000000001</v>
      </c>
      <c r="Z12" s="39">
        <f t="shared" si="26"/>
        <v>119.21729600000002</v>
      </c>
      <c r="AA12" s="39">
        <f t="shared" si="26"/>
        <v>121.59304192000003</v>
      </c>
      <c r="AB12" s="39">
        <f t="shared" si="26"/>
        <v>124.18858275840003</v>
      </c>
      <c r="AC12" s="39">
        <f t="shared" si="26"/>
        <v>126.93877041356802</v>
      </c>
      <c r="AD12" s="39">
        <f t="shared" si="26"/>
        <v>129.56524502183939</v>
      </c>
      <c r="AE12" s="39">
        <f t="shared" si="26"/>
        <v>132.3037889622762</v>
      </c>
    </row>
    <row r="13" spans="2:78" s="2" customFormat="1" x14ac:dyDescent="0.2">
      <c r="B13" s="2" t="s">
        <v>48</v>
      </c>
      <c r="C13" s="2">
        <f t="shared" ref="C13:L13" si="27">C11-C12</f>
        <v>154</v>
      </c>
      <c r="D13" s="36">
        <f t="shared" si="27"/>
        <v>112</v>
      </c>
      <c r="E13" s="2">
        <f t="shared" si="27"/>
        <v>224</v>
      </c>
      <c r="F13" s="36">
        <f t="shared" si="27"/>
        <v>86</v>
      </c>
      <c r="G13" s="2">
        <f t="shared" si="27"/>
        <v>146</v>
      </c>
      <c r="H13" s="36">
        <f t="shared" si="27"/>
        <v>139</v>
      </c>
      <c r="I13" s="2">
        <f t="shared" si="27"/>
        <v>152</v>
      </c>
      <c r="J13" s="36">
        <f t="shared" si="27"/>
        <v>102</v>
      </c>
      <c r="K13" s="35">
        <f t="shared" si="27"/>
        <v>100</v>
      </c>
      <c r="L13" s="36">
        <f t="shared" si="27"/>
        <v>229</v>
      </c>
      <c r="M13" s="35">
        <f t="shared" ref="M13" si="28">M11-M12</f>
        <v>156</v>
      </c>
      <c r="N13" s="35"/>
      <c r="R13" s="35">
        <f t="shared" ref="R13:X13" si="29">R11-R12</f>
        <v>295</v>
      </c>
      <c r="S13" s="35">
        <f t="shared" si="29"/>
        <v>266</v>
      </c>
      <c r="T13" s="35">
        <f t="shared" si="29"/>
        <v>310</v>
      </c>
      <c r="U13" s="35">
        <f t="shared" si="29"/>
        <v>285</v>
      </c>
      <c r="V13" s="35">
        <f t="shared" si="29"/>
        <v>254</v>
      </c>
      <c r="W13" s="35">
        <f t="shared" ref="W13" si="30">W11-W12</f>
        <v>329</v>
      </c>
      <c r="X13" s="55">
        <f t="shared" si="29"/>
        <v>333.24000000000007</v>
      </c>
      <c r="Y13" s="55">
        <f t="shared" ref="Y13:AE13" si="31">Y11-Y12</f>
        <v>346.3596</v>
      </c>
      <c r="Z13" s="55">
        <f t="shared" si="31"/>
        <v>357.65188800000004</v>
      </c>
      <c r="AA13" s="55">
        <f t="shared" si="31"/>
        <v>364.77912576000011</v>
      </c>
      <c r="AB13" s="55">
        <f t="shared" si="31"/>
        <v>372.56574827520012</v>
      </c>
      <c r="AC13" s="55">
        <f t="shared" si="31"/>
        <v>380.81631124070407</v>
      </c>
      <c r="AD13" s="55">
        <f t="shared" si="31"/>
        <v>388.69573506551819</v>
      </c>
      <c r="AE13" s="55">
        <f t="shared" si="31"/>
        <v>396.9113668868286</v>
      </c>
      <c r="AF13" s="35">
        <f>AE13*(1+$AH$17)</f>
        <v>400.88048055569692</v>
      </c>
      <c r="AG13" s="35">
        <f t="shared" ref="AG13:BZ13" si="32">AF13*(1+$AH$17)</f>
        <v>404.88928536125388</v>
      </c>
      <c r="AH13" s="35">
        <f t="shared" si="32"/>
        <v>408.93817821486641</v>
      </c>
      <c r="AI13" s="35">
        <f t="shared" si="32"/>
        <v>413.02755999701509</v>
      </c>
      <c r="AJ13" s="35">
        <f t="shared" si="32"/>
        <v>417.15783559698525</v>
      </c>
      <c r="AK13" s="35">
        <f t="shared" si="32"/>
        <v>421.32941395295512</v>
      </c>
      <c r="AL13" s="35">
        <f t="shared" si="32"/>
        <v>425.5427080924847</v>
      </c>
      <c r="AM13" s="35">
        <f t="shared" si="32"/>
        <v>429.79813517340955</v>
      </c>
      <c r="AN13" s="35">
        <f t="shared" si="32"/>
        <v>434.09611652514366</v>
      </c>
      <c r="AO13" s="35">
        <f t="shared" si="32"/>
        <v>438.43707769039509</v>
      </c>
      <c r="AP13" s="35">
        <f t="shared" si="32"/>
        <v>442.82144846729904</v>
      </c>
      <c r="AQ13" s="35">
        <f t="shared" si="32"/>
        <v>447.24966295197203</v>
      </c>
      <c r="AR13" s="35">
        <f t="shared" si="32"/>
        <v>451.72215958149172</v>
      </c>
      <c r="AS13" s="35">
        <f t="shared" si="32"/>
        <v>456.23938117730665</v>
      </c>
      <c r="AT13" s="35">
        <f t="shared" si="32"/>
        <v>460.80177498907972</v>
      </c>
      <c r="AU13" s="35">
        <f t="shared" si="32"/>
        <v>465.40979273897051</v>
      </c>
      <c r="AV13" s="35">
        <f t="shared" si="32"/>
        <v>470.06389066636024</v>
      </c>
      <c r="AW13" s="35">
        <f t="shared" si="32"/>
        <v>474.76452957302382</v>
      </c>
      <c r="AX13" s="35">
        <f t="shared" si="32"/>
        <v>479.51217486875407</v>
      </c>
      <c r="AY13" s="35">
        <f t="shared" si="32"/>
        <v>484.30729661744164</v>
      </c>
      <c r="AZ13" s="35">
        <f t="shared" si="32"/>
        <v>489.15036958361605</v>
      </c>
      <c r="BA13" s="35">
        <f t="shared" si="32"/>
        <v>494.0418732794522</v>
      </c>
      <c r="BB13" s="35">
        <f t="shared" si="32"/>
        <v>498.98229201224672</v>
      </c>
      <c r="BC13" s="35">
        <f t="shared" si="32"/>
        <v>503.97211493236921</v>
      </c>
      <c r="BD13" s="35">
        <f t="shared" si="32"/>
        <v>509.01183608169288</v>
      </c>
      <c r="BE13" s="35">
        <f t="shared" si="32"/>
        <v>514.10195444250985</v>
      </c>
      <c r="BF13" s="35">
        <f t="shared" si="32"/>
        <v>519.242973986935</v>
      </c>
      <c r="BG13" s="35">
        <f t="shared" si="32"/>
        <v>524.43540372680434</v>
      </c>
      <c r="BH13" s="35">
        <f t="shared" si="32"/>
        <v>529.67975776407241</v>
      </c>
      <c r="BI13" s="35">
        <f t="shared" si="32"/>
        <v>534.97655534171315</v>
      </c>
      <c r="BJ13" s="35">
        <f t="shared" si="32"/>
        <v>540.32632089513027</v>
      </c>
      <c r="BK13" s="35">
        <f t="shared" si="32"/>
        <v>545.7295841040816</v>
      </c>
      <c r="BL13" s="35">
        <f t="shared" si="32"/>
        <v>551.18687994512243</v>
      </c>
      <c r="BM13" s="35">
        <f t="shared" si="32"/>
        <v>556.69874874457366</v>
      </c>
      <c r="BN13" s="35">
        <f t="shared" si="32"/>
        <v>562.26573623201944</v>
      </c>
      <c r="BO13" s="35">
        <f t="shared" si="32"/>
        <v>567.88839359433962</v>
      </c>
      <c r="BP13" s="35">
        <f t="shared" si="32"/>
        <v>573.56727753028304</v>
      </c>
      <c r="BQ13" s="35">
        <f t="shared" si="32"/>
        <v>579.30295030558591</v>
      </c>
      <c r="BR13" s="35">
        <f t="shared" si="32"/>
        <v>585.0959798086418</v>
      </c>
      <c r="BS13" s="35">
        <f t="shared" si="32"/>
        <v>590.94693960672828</v>
      </c>
      <c r="BT13" s="35">
        <f t="shared" si="32"/>
        <v>596.85640900279554</v>
      </c>
      <c r="BU13" s="35">
        <f t="shared" si="32"/>
        <v>602.82497309282348</v>
      </c>
      <c r="BV13" s="35">
        <f t="shared" si="32"/>
        <v>608.85322282375171</v>
      </c>
      <c r="BW13" s="35">
        <f t="shared" si="32"/>
        <v>614.94175505198928</v>
      </c>
      <c r="BX13" s="35">
        <f t="shared" si="32"/>
        <v>621.09117260250912</v>
      </c>
      <c r="BY13" s="35">
        <f t="shared" si="32"/>
        <v>627.30208432853419</v>
      </c>
      <c r="BZ13" s="35">
        <f t="shared" si="32"/>
        <v>633.57510517181959</v>
      </c>
    </row>
    <row r="14" spans="2:78" s="51" customFormat="1" x14ac:dyDescent="0.2">
      <c r="B14" s="51" t="s">
        <v>49</v>
      </c>
      <c r="C14" s="51">
        <f t="shared" ref="C14:L14" si="33">C13/C15</f>
        <v>0.14180478821362799</v>
      </c>
      <c r="D14" s="52">
        <f t="shared" si="33"/>
        <v>0.10313075506445672</v>
      </c>
      <c r="E14" s="51">
        <f t="shared" si="33"/>
        <v>0.20550458715596331</v>
      </c>
      <c r="F14" s="52">
        <f t="shared" si="33"/>
        <v>7.8826764436296978E-2</v>
      </c>
      <c r="G14" s="51">
        <f t="shared" si="33"/>
        <v>0.13345521023765997</v>
      </c>
      <c r="H14" s="52">
        <f t="shared" si="33"/>
        <v>0.12870370370370371</v>
      </c>
      <c r="I14" s="51">
        <f t="shared" si="33"/>
        <v>0.14858260019550343</v>
      </c>
      <c r="J14" s="52">
        <f t="shared" si="33"/>
        <v>0.1</v>
      </c>
      <c r="K14" s="51">
        <f t="shared" si="33"/>
        <v>9.8231827111984277E-2</v>
      </c>
      <c r="L14" s="52">
        <f t="shared" si="33"/>
        <v>0.22450980392156863</v>
      </c>
      <c r="M14" s="51">
        <f t="shared" ref="M14" si="34">M13/M15</f>
        <v>0.15354330708661418</v>
      </c>
      <c r="R14" s="51">
        <f t="shared" ref="R14:S14" si="35">R13/R15</f>
        <v>0.2723915050784857</v>
      </c>
      <c r="S14" s="51">
        <f t="shared" si="35"/>
        <v>0.24493554327808473</v>
      </c>
      <c r="T14" s="51">
        <f>T13/T15</f>
        <v>0.28414298808432631</v>
      </c>
      <c r="U14" s="51">
        <f>U13/U15</f>
        <v>0.2638888888888889</v>
      </c>
      <c r="V14" s="51">
        <f>V13/V15</f>
        <v>0.24901960784313726</v>
      </c>
      <c r="W14" s="51">
        <f t="shared" ref="W14" si="36">W13/W15</f>
        <v>0.32254901960784316</v>
      </c>
      <c r="X14" s="56">
        <f>X13/X15</f>
        <v>0.32670588235294123</v>
      </c>
      <c r="Y14" s="56">
        <f t="shared" ref="Y14:AE14" si="37">Y13/Y15</f>
        <v>0.33956823529411767</v>
      </c>
      <c r="Z14" s="56">
        <f t="shared" si="37"/>
        <v>0.35063910588235297</v>
      </c>
      <c r="AA14" s="56">
        <f t="shared" si="37"/>
        <v>0.35762659388235307</v>
      </c>
      <c r="AB14" s="56">
        <f t="shared" si="37"/>
        <v>0.365260537524706</v>
      </c>
      <c r="AC14" s="56">
        <f t="shared" si="37"/>
        <v>0.3733493247457883</v>
      </c>
      <c r="AD14" s="56">
        <f t="shared" si="37"/>
        <v>0.38107425006423351</v>
      </c>
      <c r="AE14" s="56">
        <f t="shared" si="37"/>
        <v>0.38912879106551823</v>
      </c>
    </row>
    <row r="15" spans="2:78" s="32" customFormat="1" x14ac:dyDescent="0.2">
      <c r="B15" s="32" t="s">
        <v>4</v>
      </c>
      <c r="C15" s="32">
        <v>1086</v>
      </c>
      <c r="D15" s="33">
        <f>S15</f>
        <v>1086</v>
      </c>
      <c r="E15" s="32">
        <v>1090</v>
      </c>
      <c r="F15" s="33">
        <f>T15</f>
        <v>1091</v>
      </c>
      <c r="G15" s="32">
        <v>1094</v>
      </c>
      <c r="H15" s="33">
        <f>U15</f>
        <v>1080</v>
      </c>
      <c r="I15" s="32">
        <v>1023</v>
      </c>
      <c r="J15" s="33">
        <f>V15</f>
        <v>1020</v>
      </c>
      <c r="K15" s="32">
        <v>1018</v>
      </c>
      <c r="L15" s="33">
        <f>W15</f>
        <v>1020</v>
      </c>
      <c r="M15" s="32">
        <v>1016</v>
      </c>
      <c r="R15" s="32">
        <v>1083</v>
      </c>
      <c r="S15" s="32">
        <v>1086</v>
      </c>
      <c r="T15" s="32">
        <v>1091</v>
      </c>
      <c r="U15" s="32">
        <v>1080</v>
      </c>
      <c r="V15" s="32">
        <v>1020</v>
      </c>
      <c r="W15" s="32">
        <v>1020</v>
      </c>
      <c r="X15" s="39">
        <f>W15</f>
        <v>1020</v>
      </c>
      <c r="Y15" s="39">
        <f t="shared" ref="Y15:AE15" si="38">X15</f>
        <v>1020</v>
      </c>
      <c r="Z15" s="39">
        <f t="shared" si="38"/>
        <v>1020</v>
      </c>
      <c r="AA15" s="39">
        <f t="shared" si="38"/>
        <v>1020</v>
      </c>
      <c r="AB15" s="39">
        <f t="shared" si="38"/>
        <v>1020</v>
      </c>
      <c r="AC15" s="39">
        <f t="shared" si="38"/>
        <v>1020</v>
      </c>
      <c r="AD15" s="39">
        <f t="shared" si="38"/>
        <v>1020</v>
      </c>
      <c r="AE15" s="39">
        <f t="shared" si="38"/>
        <v>1020</v>
      </c>
    </row>
    <row r="17" spans="2:34" x14ac:dyDescent="0.2">
      <c r="B17" s="1" t="s">
        <v>52</v>
      </c>
      <c r="C17" s="31">
        <f t="shared" ref="C17:I17" si="39">C6/C4</f>
        <v>0.92685475444096133</v>
      </c>
      <c r="D17" s="42">
        <f t="shared" si="39"/>
        <v>0.93054136874361593</v>
      </c>
      <c r="E17" s="31">
        <f t="shared" si="39"/>
        <v>0.9343589743589743</v>
      </c>
      <c r="F17" s="42">
        <f t="shared" si="39"/>
        <v>0.93318965517241381</v>
      </c>
      <c r="G17" s="31">
        <f t="shared" si="39"/>
        <v>0.9231590181430096</v>
      </c>
      <c r="H17" s="42">
        <f t="shared" si="39"/>
        <v>0.93509350935093505</v>
      </c>
      <c r="I17" s="31">
        <f t="shared" si="39"/>
        <v>0.9271948608137045</v>
      </c>
      <c r="J17" s="42">
        <f t="shared" ref="J17:K17" si="40">J6/J4</f>
        <v>0.93089832181638699</v>
      </c>
      <c r="K17" s="31">
        <f t="shared" si="40"/>
        <v>0.93008279668813243</v>
      </c>
      <c r="L17" s="42">
        <f t="shared" ref="L17" si="41">L6/L4</f>
        <v>0.92707383773928898</v>
      </c>
      <c r="M17" s="31">
        <f t="shared" ref="M17" si="42">M6/M4</f>
        <v>0.92881944444444442</v>
      </c>
      <c r="R17" s="31">
        <f t="shared" ref="R17:S17" si="43">R6/R4</f>
        <v>0.92957746478873238</v>
      </c>
      <c r="S17" s="31">
        <f t="shared" si="43"/>
        <v>0.92871900826446285</v>
      </c>
      <c r="T17" s="31">
        <f>T6/T4</f>
        <v>0.93378875459800315</v>
      </c>
      <c r="U17" s="31">
        <f>U6/U4</f>
        <v>0.92903575297941499</v>
      </c>
      <c r="V17" s="31">
        <f t="shared" ref="V17:W17" si="44">V6/V4</f>
        <v>0.92912172573189522</v>
      </c>
      <c r="W17" s="31">
        <f t="shared" si="44"/>
        <v>0.9285714285714286</v>
      </c>
      <c r="X17" s="57">
        <v>0.93</v>
      </c>
      <c r="Y17" s="57">
        <v>0.93</v>
      </c>
      <c r="Z17" s="57">
        <v>0.93</v>
      </c>
      <c r="AA17" s="57">
        <v>0.93</v>
      </c>
      <c r="AB17" s="57">
        <v>0.93</v>
      </c>
      <c r="AC17" s="57">
        <v>0.93</v>
      </c>
      <c r="AD17" s="57">
        <v>0.93</v>
      </c>
      <c r="AE17" s="57">
        <v>0.93</v>
      </c>
      <c r="AG17" s="60" t="s">
        <v>107</v>
      </c>
      <c r="AH17" s="61">
        <v>0.01</v>
      </c>
    </row>
    <row r="18" spans="2:34" x14ac:dyDescent="0.2">
      <c r="B18" s="1" t="s">
        <v>53</v>
      </c>
      <c r="C18" s="31">
        <f t="shared" ref="C18:I18" si="45">C8/C4</f>
        <v>0.21943573667711599</v>
      </c>
      <c r="D18" s="42">
        <f t="shared" si="45"/>
        <v>0.17568947906026558</v>
      </c>
      <c r="E18" s="31">
        <f t="shared" si="45"/>
        <v>0.29641025641025642</v>
      </c>
      <c r="F18" s="42">
        <f t="shared" si="45"/>
        <v>0.12392241379310345</v>
      </c>
      <c r="G18" s="31">
        <f t="shared" si="45"/>
        <v>0.21664887940234792</v>
      </c>
      <c r="H18" s="42">
        <f t="shared" si="45"/>
        <v>0.18701870187018702</v>
      </c>
      <c r="I18" s="31">
        <f t="shared" si="45"/>
        <v>0.21841541755888652</v>
      </c>
      <c r="J18" s="42">
        <f t="shared" ref="J18:K18" si="46">J8/J4</f>
        <v>0.16090819348469892</v>
      </c>
      <c r="K18" s="31">
        <f t="shared" si="46"/>
        <v>0.14443422263109476</v>
      </c>
      <c r="L18" s="42">
        <f t="shared" ref="L18" si="47">L8/L4</f>
        <v>0.27256153144940748</v>
      </c>
      <c r="M18" s="31">
        <f t="shared" ref="M18" si="48">M8/M4</f>
        <v>0.18663194444444445</v>
      </c>
      <c r="R18" s="31">
        <f t="shared" ref="R18:S18" si="49">R8/R4</f>
        <v>0.2313109425785482</v>
      </c>
      <c r="S18" s="31">
        <f t="shared" si="49"/>
        <v>0.19731404958677687</v>
      </c>
      <c r="T18" s="31">
        <f>T8/T4</f>
        <v>0.21229637414608513</v>
      </c>
      <c r="U18" s="31">
        <f>U8/U4</f>
        <v>0.20205850487540628</v>
      </c>
      <c r="V18" s="31">
        <f t="shared" ref="V18:W18" si="50">V8/V4</f>
        <v>0.18849512069851052</v>
      </c>
      <c r="W18" s="31">
        <f t="shared" si="50"/>
        <v>0.2087912087912088</v>
      </c>
      <c r="X18" s="57">
        <v>0.2</v>
      </c>
      <c r="Y18" s="57">
        <v>0.2</v>
      </c>
      <c r="Z18" s="57">
        <v>0.2</v>
      </c>
      <c r="AA18" s="57">
        <v>0.2</v>
      </c>
      <c r="AB18" s="57">
        <v>0.2</v>
      </c>
      <c r="AC18" s="57">
        <v>0.2</v>
      </c>
      <c r="AD18" s="57">
        <v>0.2</v>
      </c>
      <c r="AE18" s="57">
        <v>0.2</v>
      </c>
      <c r="AG18" s="62" t="s">
        <v>108</v>
      </c>
      <c r="AH18" s="63">
        <v>0.05</v>
      </c>
    </row>
    <row r="19" spans="2:34" x14ac:dyDescent="0.2">
      <c r="B19" s="1" t="s">
        <v>54</v>
      </c>
      <c r="C19" s="31">
        <f t="shared" ref="C19:I19" si="51">C13/C4</f>
        <v>0.16091954022988506</v>
      </c>
      <c r="D19" s="42">
        <f t="shared" si="51"/>
        <v>0.11440245148110317</v>
      </c>
      <c r="E19" s="31">
        <f t="shared" si="51"/>
        <v>0.22974358974358974</v>
      </c>
      <c r="F19" s="42">
        <f t="shared" si="51"/>
        <v>9.2672413793103453E-2</v>
      </c>
      <c r="G19" s="31">
        <f t="shared" si="51"/>
        <v>0.15581643543223053</v>
      </c>
      <c r="H19" s="42">
        <f t="shared" si="51"/>
        <v>0.15291529152915292</v>
      </c>
      <c r="I19" s="31">
        <f t="shared" si="51"/>
        <v>0.16274089935760172</v>
      </c>
      <c r="J19" s="42">
        <f t="shared" ref="J19:K19" si="52">J13/J4</f>
        <v>0.10069101678183613</v>
      </c>
      <c r="K19" s="31">
        <f t="shared" si="52"/>
        <v>9.1996320147194111E-2</v>
      </c>
      <c r="L19" s="42">
        <f t="shared" ref="L19" si="53">L13/L4</f>
        <v>0.20875113947128532</v>
      </c>
      <c r="M19" s="31">
        <f t="shared" ref="M19" si="54">M13/M4</f>
        <v>0.13541666666666666</v>
      </c>
      <c r="R19" s="31">
        <f t="shared" ref="R19:S19" si="55">R13/R4</f>
        <v>0.15980498374864571</v>
      </c>
      <c r="S19" s="31">
        <f t="shared" si="55"/>
        <v>0.13739669421487602</v>
      </c>
      <c r="T19" s="31">
        <f>T13/T4</f>
        <v>0.16290068313189701</v>
      </c>
      <c r="U19" s="31">
        <f>U13/U4</f>
        <v>0.1543878656554713</v>
      </c>
      <c r="V19" s="31">
        <f t="shared" ref="V19:W19" si="56">V13/V4</f>
        <v>0.13045711350796096</v>
      </c>
      <c r="W19" s="31">
        <f t="shared" si="56"/>
        <v>0.15064102564102563</v>
      </c>
      <c r="AG19" s="62" t="s">
        <v>109</v>
      </c>
      <c r="AH19" s="68">
        <f>NPV(AH18,W13:BZ13)</f>
        <v>7981.6949888519939</v>
      </c>
    </row>
    <row r="20" spans="2:34" x14ac:dyDescent="0.2">
      <c r="B20" s="1" t="s">
        <v>100</v>
      </c>
      <c r="C20" s="31">
        <f t="shared" ref="C20:I20" si="57">C12/C11</f>
        <v>0.22222222222222221</v>
      </c>
      <c r="D20" s="42">
        <f t="shared" si="57"/>
        <v>0.31288343558282211</v>
      </c>
      <c r="E20" s="31">
        <f t="shared" si="57"/>
        <v>0.18545454545454546</v>
      </c>
      <c r="F20" s="42">
        <f t="shared" si="57"/>
        <v>0.12244897959183673</v>
      </c>
      <c r="G20" s="31">
        <f t="shared" si="57"/>
        <v>0.23157894736842105</v>
      </c>
      <c r="H20" s="42">
        <f t="shared" si="57"/>
        <v>0.11464968152866242</v>
      </c>
      <c r="I20" s="31">
        <f t="shared" si="57"/>
        <v>0.19576719576719576</v>
      </c>
      <c r="J20" s="42">
        <f t="shared" ref="J20:K20" si="58">J12/J11</f>
        <v>0.3108108108108108</v>
      </c>
      <c r="K20" s="31">
        <f t="shared" si="58"/>
        <v>0.2805755395683453</v>
      </c>
      <c r="L20" s="42">
        <f t="shared" ref="L20" si="59">L12/L11</f>
        <v>0.19649122807017544</v>
      </c>
      <c r="M20" s="31">
        <f t="shared" ref="M20" si="60">M12/M11</f>
        <v>0.23152709359605911</v>
      </c>
      <c r="R20" s="31">
        <f t="shared" ref="R20:U20" si="61">R12/R11</f>
        <v>0.25879396984924624</v>
      </c>
      <c r="S20" s="31">
        <f t="shared" si="61"/>
        <v>0.26315789473684209</v>
      </c>
      <c r="T20" s="31">
        <f t="shared" si="61"/>
        <v>0.16890080428954424</v>
      </c>
      <c r="U20" s="31">
        <f t="shared" si="61"/>
        <v>0.17867435158501441</v>
      </c>
      <c r="V20" s="31">
        <f t="shared" ref="V20:W20" si="62">V12/V11</f>
        <v>0.24629080118694363</v>
      </c>
      <c r="W20" s="31">
        <f t="shared" si="62"/>
        <v>0.22405660377358491</v>
      </c>
      <c r="X20" s="57">
        <v>0.25</v>
      </c>
      <c r="Y20" s="57">
        <v>0.25</v>
      </c>
      <c r="Z20" s="57">
        <v>0.25</v>
      </c>
      <c r="AA20" s="57">
        <v>0.25</v>
      </c>
      <c r="AB20" s="57">
        <v>0.25</v>
      </c>
      <c r="AC20" s="57">
        <v>0.25</v>
      </c>
      <c r="AD20" s="57">
        <v>0.25</v>
      </c>
      <c r="AE20" s="57">
        <v>0.25</v>
      </c>
      <c r="AG20" s="62" t="s">
        <v>8</v>
      </c>
      <c r="AH20" s="68">
        <f>Main!C11</f>
        <v>-792</v>
      </c>
    </row>
    <row r="21" spans="2:34" x14ac:dyDescent="0.2">
      <c r="AG21" s="62" t="s">
        <v>110</v>
      </c>
      <c r="AH21" s="68">
        <f>AH19-AH20</f>
        <v>8773.6949888519939</v>
      </c>
    </row>
    <row r="22" spans="2:34" s="2" customFormat="1" x14ac:dyDescent="0.2">
      <c r="B22" s="2" t="s">
        <v>50</v>
      </c>
      <c r="C22" s="48" t="s">
        <v>92</v>
      </c>
      <c r="D22" s="49" t="s">
        <v>92</v>
      </c>
      <c r="E22" s="41">
        <f t="shared" ref="E22:M22" si="63">E4/C4-1</f>
        <v>1.8808777429467183E-2</v>
      </c>
      <c r="F22" s="50">
        <f t="shared" si="63"/>
        <v>-5.2093973442288055E-2</v>
      </c>
      <c r="G22" s="41">
        <f t="shared" si="63"/>
        <v>-3.8974358974358969E-2</v>
      </c>
      <c r="H22" s="50">
        <f t="shared" si="63"/>
        <v>-2.0474137931034475E-2</v>
      </c>
      <c r="I22" s="41">
        <f t="shared" si="63"/>
        <v>-3.2017075773745907E-3</v>
      </c>
      <c r="J22" s="50">
        <f t="shared" si="63"/>
        <v>0.11441144114411439</v>
      </c>
      <c r="K22" s="41">
        <f t="shared" si="63"/>
        <v>0.16381156316916479</v>
      </c>
      <c r="L22" s="50">
        <f t="shared" si="63"/>
        <v>8.2922013820335705E-2</v>
      </c>
      <c r="M22" s="41">
        <f t="shared" si="63"/>
        <v>5.9797608095676136E-2</v>
      </c>
      <c r="R22" s="19" t="s">
        <v>92</v>
      </c>
      <c r="S22" s="41">
        <f t="shared" ref="S22:T22" si="64">S4/R4-1</f>
        <v>4.8754062838569867E-2</v>
      </c>
      <c r="T22" s="41">
        <f t="shared" si="64"/>
        <v>-1.7045454545454586E-2</v>
      </c>
      <c r="U22" s="41">
        <f>U4/T4-1</f>
        <v>-2.9952706253284278E-2</v>
      </c>
      <c r="V22" s="41">
        <f t="shared" ref="V22:W22" si="65">V4/U4-1</f>
        <v>5.4712892741061836E-2</v>
      </c>
      <c r="W22" s="41">
        <f t="shared" si="65"/>
        <v>0.1217257318952234</v>
      </c>
      <c r="X22" s="58">
        <v>0.05</v>
      </c>
      <c r="Y22" s="58">
        <v>0.04</v>
      </c>
      <c r="Z22" s="58">
        <v>0.03</v>
      </c>
      <c r="AA22" s="58">
        <v>0.02</v>
      </c>
      <c r="AB22" s="58">
        <v>0.02</v>
      </c>
      <c r="AC22" s="58">
        <v>0.02</v>
      </c>
      <c r="AD22" s="58">
        <v>0.02</v>
      </c>
      <c r="AE22" s="58">
        <v>0.02</v>
      </c>
      <c r="AG22" s="4" t="s">
        <v>111</v>
      </c>
      <c r="AH22" s="67">
        <f>AH21/Main!C7</f>
        <v>8.6355265638307035</v>
      </c>
    </row>
    <row r="23" spans="2:34" x14ac:dyDescent="0.2">
      <c r="B23" s="1" t="s">
        <v>51</v>
      </c>
      <c r="C23" s="19" t="s">
        <v>92</v>
      </c>
      <c r="D23" s="42">
        <f t="shared" ref="D23:M23" si="66">D4/C4-1</f>
        <v>2.2988505747126409E-2</v>
      </c>
      <c r="E23" s="31">
        <f t="shared" si="66"/>
        <v>-4.0858018386108474E-3</v>
      </c>
      <c r="F23" s="42">
        <f t="shared" si="66"/>
        <v>-4.8205128205128234E-2</v>
      </c>
      <c r="G23" s="31">
        <f t="shared" si="66"/>
        <v>9.6982758620689502E-3</v>
      </c>
      <c r="H23" s="42">
        <f t="shared" si="66"/>
        <v>-2.9882604055496254E-2</v>
      </c>
      <c r="I23" s="31">
        <f t="shared" si="66"/>
        <v>2.7502750275027577E-2</v>
      </c>
      <c r="J23" s="42">
        <f t="shared" si="66"/>
        <v>8.4582441113490336E-2</v>
      </c>
      <c r="K23" s="31">
        <f t="shared" si="66"/>
        <v>7.3050345508390846E-2</v>
      </c>
      <c r="L23" s="42">
        <f t="shared" si="66"/>
        <v>9.1996320147194055E-3</v>
      </c>
      <c r="M23" s="31">
        <f t="shared" si="66"/>
        <v>5.0136736554238892E-2</v>
      </c>
      <c r="N23" s="31">
        <v>0.05</v>
      </c>
      <c r="R23" s="19" t="s">
        <v>92</v>
      </c>
      <c r="S23" s="19" t="s">
        <v>92</v>
      </c>
      <c r="T23" s="19" t="s">
        <v>92</v>
      </c>
      <c r="U23" s="19" t="s">
        <v>92</v>
      </c>
      <c r="V23" s="19" t="s">
        <v>92</v>
      </c>
      <c r="W23" s="19" t="s">
        <v>92</v>
      </c>
      <c r="AG23" s="62" t="s">
        <v>112</v>
      </c>
      <c r="AH23" s="64">
        <f>Main!C6</f>
        <v>9.8859999999999992</v>
      </c>
    </row>
    <row r="24" spans="2:34" x14ac:dyDescent="0.2">
      <c r="C24" s="19"/>
      <c r="D24" s="42"/>
      <c r="E24" s="31"/>
      <c r="F24" s="42"/>
      <c r="G24" s="31"/>
      <c r="H24" s="42"/>
      <c r="I24" s="31"/>
      <c r="J24" s="42"/>
      <c r="R24" s="19"/>
      <c r="S24" s="19"/>
      <c r="T24" s="19"/>
      <c r="U24" s="19"/>
      <c r="V24" s="19"/>
      <c r="W24" s="19"/>
      <c r="AG24" s="65" t="s">
        <v>113</v>
      </c>
      <c r="AH24" s="66">
        <f>AH22/AH23-1</f>
        <v>-0.12648932188643491</v>
      </c>
    </row>
    <row r="25" spans="2:34" x14ac:dyDescent="0.2">
      <c r="C25" s="19"/>
      <c r="D25" s="42"/>
      <c r="E25" s="31"/>
      <c r="F25" s="42"/>
      <c r="G25" s="31"/>
      <c r="H25" s="42"/>
      <c r="I25" s="31"/>
      <c r="J25" s="42"/>
      <c r="R25" s="19"/>
      <c r="S25" s="19"/>
      <c r="T25" s="19"/>
      <c r="U25" s="19"/>
      <c r="V25" s="19"/>
      <c r="W25" s="19"/>
    </row>
    <row r="26" spans="2:34" x14ac:dyDescent="0.2">
      <c r="B26" s="34" t="s">
        <v>114</v>
      </c>
      <c r="C26" s="19"/>
      <c r="D26" s="42"/>
      <c r="E26" s="31"/>
      <c r="F26" s="42"/>
      <c r="G26" s="31"/>
      <c r="H26" s="42"/>
      <c r="I26" s="31"/>
      <c r="J26" s="42"/>
      <c r="R26" s="19"/>
      <c r="S26" s="19"/>
      <c r="T26" s="19"/>
      <c r="U26" s="19"/>
      <c r="V26" s="19"/>
      <c r="W26" s="19"/>
    </row>
    <row r="27" spans="2:34" s="35" customFormat="1" x14ac:dyDescent="0.2">
      <c r="B27" s="35" t="s">
        <v>115</v>
      </c>
      <c r="C27" s="92"/>
      <c r="D27" s="36"/>
      <c r="F27" s="36"/>
      <c r="H27" s="36"/>
      <c r="J27" s="36"/>
      <c r="L27" s="36"/>
      <c r="R27" s="92"/>
      <c r="S27" s="92">
        <v>12755</v>
      </c>
      <c r="T27" s="92">
        <v>12506</v>
      </c>
      <c r="U27" s="92">
        <v>11785</v>
      </c>
      <c r="V27" s="92">
        <v>11228</v>
      </c>
      <c r="W27" s="92">
        <f>SUM(W28:W31)</f>
        <v>11565</v>
      </c>
      <c r="X27" s="55"/>
      <c r="Y27" s="55"/>
      <c r="Z27" s="55"/>
      <c r="AA27" s="55"/>
      <c r="AB27" s="55"/>
      <c r="AC27" s="55"/>
      <c r="AD27" s="55"/>
      <c r="AE27" s="55"/>
    </row>
    <row r="28" spans="2:34" s="86" customFormat="1" x14ac:dyDescent="0.2">
      <c r="B28" s="85" t="s">
        <v>120</v>
      </c>
      <c r="D28" s="87"/>
      <c r="F28" s="87"/>
      <c r="H28" s="87"/>
      <c r="J28" s="87"/>
      <c r="L28" s="87"/>
      <c r="V28" s="86">
        <v>2640</v>
      </c>
      <c r="W28" s="86">
        <v>2823</v>
      </c>
    </row>
    <row r="29" spans="2:34" s="86" customFormat="1" x14ac:dyDescent="0.2">
      <c r="B29" s="85" t="s">
        <v>121</v>
      </c>
      <c r="D29" s="87"/>
      <c r="F29" s="87"/>
      <c r="H29" s="87"/>
      <c r="J29" s="87"/>
      <c r="L29" s="87"/>
      <c r="V29" s="86">
        <v>3686</v>
      </c>
      <c r="W29" s="86">
        <v>3998</v>
      </c>
    </row>
    <row r="30" spans="2:34" s="86" customFormat="1" x14ac:dyDescent="0.2">
      <c r="B30" s="85" t="s">
        <v>122</v>
      </c>
      <c r="D30" s="87"/>
      <c r="F30" s="87"/>
      <c r="H30" s="87"/>
      <c r="J30" s="87"/>
      <c r="L30" s="87"/>
      <c r="V30" s="86">
        <v>3715</v>
      </c>
      <c r="W30" s="86">
        <v>3490</v>
      </c>
    </row>
    <row r="31" spans="2:34" s="86" customFormat="1" x14ac:dyDescent="0.2">
      <c r="B31" s="85" t="s">
        <v>123</v>
      </c>
      <c r="D31" s="87"/>
      <c r="F31" s="87"/>
      <c r="H31" s="87"/>
      <c r="J31" s="87"/>
      <c r="L31" s="87"/>
      <c r="V31" s="86">
        <v>1187</v>
      </c>
      <c r="W31" s="86">
        <v>1254</v>
      </c>
    </row>
    <row r="32" spans="2:34" s="88" customFormat="1" x14ac:dyDescent="0.2">
      <c r="B32" s="88" t="s">
        <v>124</v>
      </c>
      <c r="D32" s="89"/>
      <c r="F32" s="89"/>
      <c r="H32" s="89"/>
      <c r="J32" s="89"/>
      <c r="L32" s="89"/>
      <c r="W32" s="91">
        <f>W27/V27-1</f>
        <v>3.0014250089062999E-2</v>
      </c>
      <c r="X32" s="90"/>
      <c r="Y32" s="90"/>
      <c r="Z32" s="90"/>
      <c r="AA32" s="90"/>
      <c r="AB32" s="90"/>
      <c r="AC32" s="90"/>
      <c r="AD32" s="90"/>
      <c r="AE32" s="90"/>
    </row>
    <row r="34" spans="2:31" x14ac:dyDescent="0.2">
      <c r="B34" s="34" t="s">
        <v>69</v>
      </c>
    </row>
    <row r="35" spans="2:31" x14ac:dyDescent="0.2">
      <c r="B35" s="1" t="s">
        <v>70</v>
      </c>
      <c r="C35" s="32">
        <f>2002+238</f>
        <v>2240</v>
      </c>
      <c r="D35" s="33">
        <f>2098+228</f>
        <v>2326</v>
      </c>
      <c r="E35" s="32">
        <f>2059+216</f>
        <v>2275</v>
      </c>
      <c r="F35" s="33">
        <f>T35</f>
        <v>2174</v>
      </c>
      <c r="G35" s="32">
        <f>1843+188</f>
        <v>2031</v>
      </c>
      <c r="H35" s="33">
        <f>1877+190</f>
        <v>2067</v>
      </c>
      <c r="I35" s="32">
        <f>2082+281</f>
        <v>2363</v>
      </c>
      <c r="J35" s="33">
        <f>V35</f>
        <v>2710</v>
      </c>
      <c r="K35" s="32">
        <f>2238+288</f>
        <v>2526</v>
      </c>
      <c r="L35" s="33">
        <f>W35</f>
        <v>2519</v>
      </c>
      <c r="M35" s="32">
        <f>2190+245</f>
        <v>2435</v>
      </c>
      <c r="N35" s="32"/>
      <c r="O35" s="32"/>
      <c r="P35" s="32"/>
      <c r="Q35" s="32"/>
      <c r="R35" s="32">
        <f>2008+260</f>
        <v>2268</v>
      </c>
      <c r="S35" s="32">
        <f>2098+228</f>
        <v>2326</v>
      </c>
      <c r="T35" s="32">
        <f>1962+212</f>
        <v>2174</v>
      </c>
      <c r="U35" s="32">
        <f>1877+190</f>
        <v>2067</v>
      </c>
      <c r="V35" s="32">
        <f>2416+294</f>
        <v>2710</v>
      </c>
      <c r="W35" s="32">
        <f>2245+274</f>
        <v>2519</v>
      </c>
    </row>
    <row r="36" spans="2:31" x14ac:dyDescent="0.2">
      <c r="B36" s="1" t="s">
        <v>71</v>
      </c>
      <c r="C36" s="32">
        <v>131</v>
      </c>
      <c r="D36" s="33">
        <v>117</v>
      </c>
      <c r="E36" s="32">
        <v>198</v>
      </c>
      <c r="F36" s="33">
        <f>T36</f>
        <v>173</v>
      </c>
      <c r="G36" s="32">
        <v>165</v>
      </c>
      <c r="H36" s="33">
        <v>164</v>
      </c>
      <c r="I36" s="32">
        <v>155</v>
      </c>
      <c r="J36" s="23">
        <f>-V36</f>
        <v>-152</v>
      </c>
      <c r="K36" s="32">
        <v>124</v>
      </c>
      <c r="L36" s="33">
        <f>W36</f>
        <v>104</v>
      </c>
      <c r="M36" s="32">
        <v>101</v>
      </c>
      <c r="N36" s="32"/>
      <c r="O36" s="32"/>
      <c r="P36" s="32"/>
      <c r="Q36" s="32"/>
      <c r="R36" s="32">
        <v>129</v>
      </c>
      <c r="S36" s="32">
        <v>117</v>
      </c>
      <c r="T36" s="32">
        <v>173</v>
      </c>
      <c r="U36" s="32">
        <v>164</v>
      </c>
      <c r="V36" s="32">
        <v>152</v>
      </c>
      <c r="W36" s="32">
        <v>104</v>
      </c>
    </row>
    <row r="37" spans="2:31" s="2" customFormat="1" x14ac:dyDescent="0.2">
      <c r="B37" s="2" t="s">
        <v>72</v>
      </c>
      <c r="C37" s="35">
        <v>0</v>
      </c>
      <c r="D37" s="36">
        <v>0</v>
      </c>
      <c r="E37" s="35">
        <v>0</v>
      </c>
      <c r="F37" s="36">
        <f>T37</f>
        <v>0</v>
      </c>
      <c r="G37" s="35">
        <v>19</v>
      </c>
      <c r="H37" s="36">
        <v>21</v>
      </c>
      <c r="I37" s="35">
        <v>4</v>
      </c>
      <c r="J37" s="30">
        <f>V37</f>
        <v>4</v>
      </c>
      <c r="K37" s="35">
        <v>4</v>
      </c>
      <c r="L37" s="36">
        <f t="shared" ref="L37:L38" si="67">W37</f>
        <v>4</v>
      </c>
      <c r="M37" s="35">
        <v>6</v>
      </c>
      <c r="N37" s="35"/>
      <c r="O37" s="35"/>
      <c r="P37" s="35"/>
      <c r="Q37" s="35"/>
      <c r="R37" s="35">
        <v>0</v>
      </c>
      <c r="S37" s="35">
        <v>0</v>
      </c>
      <c r="T37" s="35">
        <v>0</v>
      </c>
      <c r="U37" s="35">
        <v>21</v>
      </c>
      <c r="V37" s="35">
        <v>4</v>
      </c>
      <c r="W37" s="35">
        <v>4</v>
      </c>
      <c r="X37" s="59"/>
      <c r="Y37" s="59"/>
      <c r="Z37" s="59"/>
      <c r="AA37" s="59"/>
      <c r="AB37" s="59"/>
      <c r="AC37" s="59"/>
      <c r="AD37" s="59"/>
      <c r="AE37" s="59"/>
    </row>
    <row r="38" spans="2:31" s="2" customFormat="1" x14ac:dyDescent="0.2">
      <c r="B38" s="2" t="s">
        <v>73</v>
      </c>
      <c r="C38" s="35">
        <v>3</v>
      </c>
      <c r="D38" s="36">
        <v>4</v>
      </c>
      <c r="E38" s="35">
        <v>3</v>
      </c>
      <c r="F38" s="36">
        <f>T38</f>
        <v>1</v>
      </c>
      <c r="G38" s="35">
        <v>1</v>
      </c>
      <c r="H38" s="36">
        <v>0</v>
      </c>
      <c r="I38" s="35">
        <v>0</v>
      </c>
      <c r="J38" s="23">
        <f t="shared" ref="J38:J45" si="68">-V38</f>
        <v>0</v>
      </c>
      <c r="K38" s="35">
        <v>2</v>
      </c>
      <c r="L38" s="36">
        <f t="shared" si="67"/>
        <v>1</v>
      </c>
      <c r="M38" s="35">
        <v>13</v>
      </c>
      <c r="N38" s="35"/>
      <c r="O38" s="35"/>
      <c r="P38" s="35"/>
      <c r="Q38" s="35"/>
      <c r="R38" s="35">
        <v>1</v>
      </c>
      <c r="S38" s="35">
        <v>4</v>
      </c>
      <c r="T38" s="35">
        <v>1</v>
      </c>
      <c r="U38" s="35">
        <v>0</v>
      </c>
      <c r="V38" s="35">
        <v>0</v>
      </c>
      <c r="W38" s="35">
        <v>1</v>
      </c>
      <c r="X38" s="59"/>
      <c r="Y38" s="59"/>
      <c r="Z38" s="59"/>
      <c r="AA38" s="59"/>
      <c r="AB38" s="59"/>
      <c r="AC38" s="59"/>
      <c r="AD38" s="59"/>
      <c r="AE38" s="59"/>
    </row>
    <row r="39" spans="2:31" x14ac:dyDescent="0.2">
      <c r="B39" s="1" t="s">
        <v>74</v>
      </c>
      <c r="C39" s="32">
        <v>40</v>
      </c>
      <c r="D39" s="33">
        <v>73</v>
      </c>
      <c r="E39" s="32">
        <v>83</v>
      </c>
      <c r="F39" s="33">
        <f t="shared" ref="F39:F45" si="69">T39</f>
        <v>86</v>
      </c>
      <c r="G39" s="32">
        <v>101</v>
      </c>
      <c r="H39" s="33">
        <v>113</v>
      </c>
      <c r="I39" s="32">
        <v>116</v>
      </c>
      <c r="J39" s="23">
        <f t="shared" si="68"/>
        <v>-128</v>
      </c>
      <c r="K39" s="32">
        <v>125</v>
      </c>
      <c r="L39" s="33">
        <f>W39</f>
        <v>138</v>
      </c>
      <c r="M39" s="32">
        <v>136</v>
      </c>
      <c r="N39" s="32"/>
      <c r="O39" s="32"/>
      <c r="P39" s="32"/>
      <c r="Q39" s="32"/>
      <c r="R39" s="32">
        <v>2</v>
      </c>
      <c r="S39" s="32">
        <v>73</v>
      </c>
      <c r="T39" s="32">
        <v>86</v>
      </c>
      <c r="U39" s="32">
        <v>113</v>
      </c>
      <c r="V39" s="32">
        <v>128</v>
      </c>
      <c r="W39" s="32">
        <v>138</v>
      </c>
    </row>
    <row r="40" spans="2:31" x14ac:dyDescent="0.2">
      <c r="B40" s="1" t="s">
        <v>75</v>
      </c>
      <c r="C40" s="32">
        <v>57</v>
      </c>
      <c r="D40" s="33">
        <v>31</v>
      </c>
      <c r="E40" s="32">
        <v>26</v>
      </c>
      <c r="F40" s="33">
        <f t="shared" si="69"/>
        <v>35</v>
      </c>
      <c r="G40" s="32">
        <v>36</v>
      </c>
      <c r="H40" s="33">
        <v>40</v>
      </c>
      <c r="I40" s="32">
        <v>34</v>
      </c>
      <c r="J40" s="23">
        <f t="shared" si="68"/>
        <v>-19</v>
      </c>
      <c r="K40" s="32">
        <v>35</v>
      </c>
      <c r="L40" s="33">
        <f>W40</f>
        <v>56</v>
      </c>
      <c r="M40" s="32">
        <v>73</v>
      </c>
      <c r="N40" s="32"/>
      <c r="O40" s="32"/>
      <c r="P40" s="32"/>
      <c r="Q40" s="32"/>
      <c r="R40" s="32">
        <v>51</v>
      </c>
      <c r="S40" s="32">
        <v>31</v>
      </c>
      <c r="T40" s="32">
        <v>35</v>
      </c>
      <c r="U40" s="32">
        <v>40</v>
      </c>
      <c r="V40" s="32">
        <v>19</v>
      </c>
      <c r="W40" s="32">
        <v>56</v>
      </c>
    </row>
    <row r="41" spans="2:31" x14ac:dyDescent="0.2">
      <c r="B41" s="1" t="s">
        <v>76</v>
      </c>
      <c r="C41" s="32">
        <f t="shared" ref="C41:M41" si="70">SUM(C35:C40)</f>
        <v>2471</v>
      </c>
      <c r="D41" s="33">
        <f t="shared" si="70"/>
        <v>2551</v>
      </c>
      <c r="E41" s="32">
        <f t="shared" si="70"/>
        <v>2585</v>
      </c>
      <c r="F41" s="33">
        <f t="shared" si="70"/>
        <v>2469</v>
      </c>
      <c r="G41" s="32">
        <f t="shared" si="70"/>
        <v>2353</v>
      </c>
      <c r="H41" s="33">
        <f t="shared" si="70"/>
        <v>2405</v>
      </c>
      <c r="I41" s="32">
        <f t="shared" si="70"/>
        <v>2672</v>
      </c>
      <c r="J41" s="33">
        <f t="shared" si="70"/>
        <v>2415</v>
      </c>
      <c r="K41" s="32">
        <f t="shared" si="70"/>
        <v>2816</v>
      </c>
      <c r="L41" s="33">
        <f t="shared" si="70"/>
        <v>2822</v>
      </c>
      <c r="M41" s="32">
        <f t="shared" si="70"/>
        <v>2764</v>
      </c>
      <c r="N41" s="32"/>
      <c r="O41" s="32"/>
      <c r="P41" s="32"/>
      <c r="Q41" s="32"/>
      <c r="R41" s="32">
        <f>SUM(R35:R40)</f>
        <v>2451</v>
      </c>
      <c r="S41" s="32">
        <f>SUM(S35:S40)</f>
        <v>2551</v>
      </c>
      <c r="T41" s="32">
        <f>SUM(T35:T40)</f>
        <v>2469</v>
      </c>
      <c r="U41" s="32">
        <f>SUM(U35:U40)</f>
        <v>2405</v>
      </c>
      <c r="V41" s="32">
        <f>SUM(V35:V40)</f>
        <v>3013</v>
      </c>
      <c r="W41" s="32">
        <f>SUM(W35:W40)</f>
        <v>2822</v>
      </c>
    </row>
    <row r="42" spans="2:31" x14ac:dyDescent="0.2">
      <c r="B42" s="1" t="s">
        <v>74</v>
      </c>
      <c r="C42" s="32">
        <v>402</v>
      </c>
      <c r="D42" s="33">
        <v>364</v>
      </c>
      <c r="E42" s="32">
        <v>329</v>
      </c>
      <c r="F42" s="33">
        <f t="shared" si="69"/>
        <v>302</v>
      </c>
      <c r="G42" s="32">
        <v>290</v>
      </c>
      <c r="H42" s="33">
        <v>295</v>
      </c>
      <c r="I42" s="1">
        <v>329</v>
      </c>
      <c r="J42" s="23">
        <f t="shared" si="68"/>
        <v>-335</v>
      </c>
      <c r="K42" s="32">
        <v>367</v>
      </c>
      <c r="L42" s="33">
        <f>W42</f>
        <v>376</v>
      </c>
      <c r="M42" s="32">
        <v>391</v>
      </c>
      <c r="N42" s="32"/>
      <c r="O42" s="32"/>
      <c r="P42" s="32"/>
      <c r="Q42" s="32"/>
      <c r="R42" s="32">
        <v>460</v>
      </c>
      <c r="S42" s="32">
        <v>364</v>
      </c>
      <c r="T42" s="32">
        <v>302</v>
      </c>
      <c r="U42" s="32">
        <v>295</v>
      </c>
      <c r="V42" s="32">
        <v>335</v>
      </c>
      <c r="W42" s="32">
        <v>376</v>
      </c>
    </row>
    <row r="43" spans="2:31" x14ac:dyDescent="0.2">
      <c r="B43" s="1" t="s">
        <v>77</v>
      </c>
      <c r="C43" s="32">
        <v>4</v>
      </c>
      <c r="D43" s="33">
        <v>3</v>
      </c>
      <c r="E43" s="32">
        <v>15</v>
      </c>
      <c r="F43" s="33">
        <f t="shared" si="69"/>
        <v>5</v>
      </c>
      <c r="G43" s="32">
        <v>13</v>
      </c>
      <c r="H43" s="33">
        <v>37</v>
      </c>
      <c r="I43" s="1">
        <v>28</v>
      </c>
      <c r="J43" s="23">
        <f t="shared" si="68"/>
        <v>-39</v>
      </c>
      <c r="K43" s="32">
        <v>37</v>
      </c>
      <c r="L43" s="33">
        <f>W43</f>
        <v>42</v>
      </c>
      <c r="M43" s="32">
        <v>37</v>
      </c>
      <c r="N43" s="32"/>
      <c r="O43" s="32"/>
      <c r="P43" s="32"/>
      <c r="Q43" s="32"/>
      <c r="R43" s="32">
        <v>4</v>
      </c>
      <c r="S43" s="32">
        <v>3</v>
      </c>
      <c r="T43" s="32">
        <v>5</v>
      </c>
      <c r="U43" s="32">
        <v>37</v>
      </c>
      <c r="V43" s="32">
        <v>39</v>
      </c>
      <c r="W43" s="32">
        <v>42</v>
      </c>
    </row>
    <row r="44" spans="2:31" s="2" customFormat="1" x14ac:dyDescent="0.2">
      <c r="B44" s="2" t="s">
        <v>6</v>
      </c>
      <c r="C44" s="35">
        <v>351</v>
      </c>
      <c r="D44" s="36">
        <v>371</v>
      </c>
      <c r="E44" s="35">
        <v>912</v>
      </c>
      <c r="F44" s="36">
        <f>T44</f>
        <v>831</v>
      </c>
      <c r="G44" s="35">
        <v>693</v>
      </c>
      <c r="H44" s="36">
        <v>553</v>
      </c>
      <c r="I44" s="2">
        <v>515</v>
      </c>
      <c r="J44" s="30">
        <f>V44</f>
        <v>489</v>
      </c>
      <c r="K44" s="35">
        <v>575</v>
      </c>
      <c r="L44" s="36">
        <f>W44</f>
        <v>696</v>
      </c>
      <c r="M44" s="35">
        <v>448</v>
      </c>
      <c r="N44" s="32"/>
      <c r="O44" s="32"/>
      <c r="P44" s="32"/>
      <c r="Q44" s="32"/>
      <c r="R44" s="35">
        <v>272</v>
      </c>
      <c r="S44" s="35">
        <v>371</v>
      </c>
      <c r="T44" s="35">
        <v>831</v>
      </c>
      <c r="U44" s="35">
        <v>553</v>
      </c>
      <c r="V44" s="35">
        <v>489</v>
      </c>
      <c r="W44" s="35">
        <v>696</v>
      </c>
      <c r="X44" s="59"/>
      <c r="Y44" s="59"/>
      <c r="Z44" s="59"/>
      <c r="AA44" s="59"/>
      <c r="AB44" s="59"/>
      <c r="AC44" s="59"/>
      <c r="AD44" s="59"/>
      <c r="AE44" s="59"/>
    </row>
    <row r="45" spans="2:31" x14ac:dyDescent="0.2">
      <c r="B45" s="1" t="s">
        <v>78</v>
      </c>
      <c r="C45" s="32">
        <v>0</v>
      </c>
      <c r="D45" s="33">
        <v>63</v>
      </c>
      <c r="E45" s="32">
        <v>0</v>
      </c>
      <c r="F45" s="33">
        <f t="shared" si="69"/>
        <v>108</v>
      </c>
      <c r="G45" s="32">
        <v>95</v>
      </c>
      <c r="H45" s="33">
        <v>39</v>
      </c>
      <c r="I45" s="1">
        <v>2</v>
      </c>
      <c r="J45" s="23">
        <f t="shared" si="68"/>
        <v>0</v>
      </c>
      <c r="K45" s="32">
        <v>0</v>
      </c>
      <c r="L45" s="33">
        <f>W45</f>
        <v>0</v>
      </c>
      <c r="M45" s="32">
        <v>7</v>
      </c>
      <c r="N45" s="32"/>
      <c r="O45" s="32"/>
      <c r="P45" s="32"/>
      <c r="Q45" s="32"/>
      <c r="R45" s="32">
        <v>113</v>
      </c>
      <c r="S45" s="32">
        <v>63</v>
      </c>
      <c r="T45" s="32">
        <v>108</v>
      </c>
      <c r="U45" s="32">
        <v>39</v>
      </c>
      <c r="V45" s="32">
        <v>0</v>
      </c>
      <c r="W45" s="32">
        <v>0</v>
      </c>
    </row>
    <row r="46" spans="2:31" x14ac:dyDescent="0.2">
      <c r="B46" s="1" t="s">
        <v>79</v>
      </c>
      <c r="C46" s="32">
        <f t="shared" ref="C46:M46" si="71">C41+SUM(C42:C45)</f>
        <v>3228</v>
      </c>
      <c r="D46" s="33">
        <f t="shared" si="71"/>
        <v>3352</v>
      </c>
      <c r="E46" s="32">
        <f t="shared" si="71"/>
        <v>3841</v>
      </c>
      <c r="F46" s="33">
        <f t="shared" si="71"/>
        <v>3715</v>
      </c>
      <c r="G46" s="32">
        <f t="shared" si="71"/>
        <v>3444</v>
      </c>
      <c r="H46" s="33">
        <f t="shared" si="71"/>
        <v>3329</v>
      </c>
      <c r="I46" s="32">
        <f t="shared" si="71"/>
        <v>3546</v>
      </c>
      <c r="J46" s="33">
        <f t="shared" si="71"/>
        <v>2530</v>
      </c>
      <c r="K46" s="32">
        <f t="shared" si="71"/>
        <v>3795</v>
      </c>
      <c r="L46" s="33">
        <f t="shared" si="71"/>
        <v>3936</v>
      </c>
      <c r="M46" s="32">
        <f t="shared" si="71"/>
        <v>3647</v>
      </c>
      <c r="N46" s="32"/>
      <c r="O46" s="32"/>
      <c r="P46" s="32"/>
      <c r="Q46" s="32"/>
      <c r="R46" s="32">
        <f>R41+SUM(R42:R45)</f>
        <v>3300</v>
      </c>
      <c r="S46" s="32">
        <f>S41+SUM(S42:S45)</f>
        <v>3352</v>
      </c>
      <c r="T46" s="32">
        <f>T41+SUM(T42:T45)</f>
        <v>3715</v>
      </c>
      <c r="U46" s="32">
        <f>U41+SUM(U42:U45)</f>
        <v>3329</v>
      </c>
      <c r="V46" s="32">
        <f>V41+SUM(V42:V45)</f>
        <v>3876</v>
      </c>
      <c r="W46" s="32">
        <f>W41+SUM(W42:W45)</f>
        <v>3936</v>
      </c>
    </row>
    <row r="47" spans="2:31" x14ac:dyDescent="0.2">
      <c r="G47" s="32"/>
      <c r="H47" s="33"/>
      <c r="K47" s="32"/>
      <c r="L47" s="33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</row>
    <row r="48" spans="2:31" x14ac:dyDescent="0.2">
      <c r="B48" s="1" t="s">
        <v>80</v>
      </c>
      <c r="C48" s="32">
        <v>276</v>
      </c>
      <c r="D48" s="33">
        <v>291</v>
      </c>
      <c r="E48" s="32">
        <v>242</v>
      </c>
      <c r="F48" s="33">
        <f t="shared" ref="F48:F53" si="72">T48</f>
        <v>297</v>
      </c>
      <c r="G48" s="32">
        <v>529</v>
      </c>
      <c r="H48" s="33">
        <v>592</v>
      </c>
      <c r="I48" s="32">
        <v>311</v>
      </c>
      <c r="J48" s="23">
        <f t="shared" ref="J48:J53" si="73">V48</f>
        <v>368</v>
      </c>
      <c r="K48" s="32">
        <v>302</v>
      </c>
      <c r="L48" s="33">
        <f>W48</f>
        <v>378</v>
      </c>
      <c r="M48" s="32">
        <v>371</v>
      </c>
      <c r="N48" s="32"/>
      <c r="O48" s="32"/>
      <c r="P48" s="32"/>
      <c r="Q48" s="32"/>
      <c r="R48" s="32">
        <v>249</v>
      </c>
      <c r="S48" s="32">
        <v>291</v>
      </c>
      <c r="T48" s="32">
        <v>297</v>
      </c>
      <c r="U48" s="32">
        <v>592</v>
      </c>
      <c r="V48" s="32">
        <v>368</v>
      </c>
      <c r="W48" s="32">
        <v>378</v>
      </c>
    </row>
    <row r="49" spans="2:31" x14ac:dyDescent="0.2">
      <c r="B49" s="1" t="s">
        <v>77</v>
      </c>
      <c r="C49" s="32">
        <v>47</v>
      </c>
      <c r="D49" s="33">
        <v>32</v>
      </c>
      <c r="E49" s="32">
        <v>46</v>
      </c>
      <c r="F49" s="33">
        <f t="shared" si="72"/>
        <v>13</v>
      </c>
      <c r="G49" s="32">
        <v>24</v>
      </c>
      <c r="H49" s="33">
        <v>31</v>
      </c>
      <c r="I49" s="32">
        <v>23</v>
      </c>
      <c r="J49" s="23">
        <f t="shared" si="73"/>
        <v>13</v>
      </c>
      <c r="K49" s="32">
        <v>33</v>
      </c>
      <c r="L49" s="33">
        <f>W49</f>
        <v>25</v>
      </c>
      <c r="M49" s="32">
        <v>26</v>
      </c>
      <c r="N49" s="32"/>
      <c r="O49" s="32"/>
      <c r="P49" s="32"/>
      <c r="Q49" s="32"/>
      <c r="R49" s="32">
        <v>39</v>
      </c>
      <c r="S49" s="32">
        <v>32</v>
      </c>
      <c r="T49" s="32">
        <v>13</v>
      </c>
      <c r="U49" s="32">
        <v>31</v>
      </c>
      <c r="V49" s="32">
        <v>13</v>
      </c>
      <c r="W49" s="32">
        <v>25</v>
      </c>
    </row>
    <row r="50" spans="2:31" s="2" customFormat="1" x14ac:dyDescent="0.2">
      <c r="B50" s="2" t="s">
        <v>81</v>
      </c>
      <c r="C50" s="35">
        <v>5</v>
      </c>
      <c r="D50" s="36">
        <v>122</v>
      </c>
      <c r="E50" s="35">
        <v>149</v>
      </c>
      <c r="F50" s="36">
        <f>T50</f>
        <v>20</v>
      </c>
      <c r="G50" s="35">
        <v>65</v>
      </c>
      <c r="H50" s="36">
        <v>65</v>
      </c>
      <c r="I50" s="35">
        <v>42</v>
      </c>
      <c r="J50" s="30">
        <f t="shared" si="73"/>
        <v>178</v>
      </c>
      <c r="K50" s="35">
        <v>16</v>
      </c>
      <c r="L50" s="36">
        <f>W50</f>
        <v>14</v>
      </c>
      <c r="M50" s="32">
        <v>15</v>
      </c>
      <c r="N50" s="32"/>
      <c r="O50" s="32"/>
      <c r="P50" s="32"/>
      <c r="Q50" s="32"/>
      <c r="R50" s="35">
        <v>8</v>
      </c>
      <c r="S50" s="35">
        <v>122</v>
      </c>
      <c r="T50" s="35">
        <v>20</v>
      </c>
      <c r="U50" s="35">
        <v>65</v>
      </c>
      <c r="V50" s="35">
        <v>178</v>
      </c>
      <c r="W50" s="35">
        <v>14</v>
      </c>
      <c r="X50" s="59"/>
      <c r="Y50" s="59"/>
      <c r="Z50" s="59"/>
      <c r="AA50" s="59"/>
      <c r="AB50" s="59"/>
      <c r="AC50" s="59"/>
      <c r="AD50" s="59"/>
      <c r="AE50" s="59"/>
    </row>
    <row r="51" spans="2:31" x14ac:dyDescent="0.2">
      <c r="B51" s="1" t="s">
        <v>82</v>
      </c>
      <c r="C51" s="32">
        <v>15</v>
      </c>
      <c r="D51" s="33">
        <v>11</v>
      </c>
      <c r="E51" s="32">
        <v>9</v>
      </c>
      <c r="F51" s="33">
        <f t="shared" si="72"/>
        <v>19</v>
      </c>
      <c r="G51" s="32">
        <v>14</v>
      </c>
      <c r="H51" s="33">
        <v>68</v>
      </c>
      <c r="I51" s="32">
        <v>44</v>
      </c>
      <c r="J51" s="23">
        <f t="shared" si="73"/>
        <v>33</v>
      </c>
      <c r="K51" s="32">
        <v>20</v>
      </c>
      <c r="L51" s="33">
        <f>W51</f>
        <v>23</v>
      </c>
      <c r="M51" s="32">
        <v>15</v>
      </c>
      <c r="N51" s="32"/>
      <c r="O51" s="32"/>
      <c r="P51" s="32"/>
      <c r="Q51" s="32"/>
      <c r="R51" s="32">
        <v>26</v>
      </c>
      <c r="S51" s="32">
        <v>11</v>
      </c>
      <c r="T51" s="32">
        <v>19</v>
      </c>
      <c r="U51" s="32">
        <v>68</v>
      </c>
      <c r="V51" s="32">
        <v>33</v>
      </c>
      <c r="W51" s="32">
        <v>23</v>
      </c>
    </row>
    <row r="52" spans="2:31" x14ac:dyDescent="0.2">
      <c r="B52" s="1" t="s">
        <v>83</v>
      </c>
      <c r="C52" s="32">
        <v>660</v>
      </c>
      <c r="D52" s="33">
        <v>637</v>
      </c>
      <c r="E52" s="32">
        <v>691</v>
      </c>
      <c r="F52" s="33">
        <f t="shared" si="72"/>
        <v>593</v>
      </c>
      <c r="G52" s="32">
        <v>638</v>
      </c>
      <c r="H52" s="33">
        <v>611</v>
      </c>
      <c r="I52" s="32">
        <v>705</v>
      </c>
      <c r="J52" s="23">
        <f t="shared" si="73"/>
        <v>734</v>
      </c>
      <c r="K52" s="32">
        <v>770</v>
      </c>
      <c r="L52" s="33">
        <f>W52</f>
        <v>745</v>
      </c>
      <c r="M52" s="32">
        <v>803</v>
      </c>
      <c r="N52" s="32"/>
      <c r="O52" s="32"/>
      <c r="P52" s="32"/>
      <c r="Q52" s="32"/>
      <c r="R52" s="32">
        <v>620</v>
      </c>
      <c r="S52" s="32">
        <v>637</v>
      </c>
      <c r="T52" s="32">
        <v>593</v>
      </c>
      <c r="U52" s="32">
        <v>611</v>
      </c>
      <c r="V52" s="32">
        <v>734</v>
      </c>
      <c r="W52" s="32">
        <v>745</v>
      </c>
    </row>
    <row r="53" spans="2:31" x14ac:dyDescent="0.2">
      <c r="B53" s="1" t="s">
        <v>86</v>
      </c>
      <c r="C53" s="32">
        <v>0</v>
      </c>
      <c r="D53" s="33">
        <v>33</v>
      </c>
      <c r="E53" s="32">
        <v>0</v>
      </c>
      <c r="F53" s="33">
        <f t="shared" si="72"/>
        <v>73</v>
      </c>
      <c r="G53" s="32">
        <v>52</v>
      </c>
      <c r="H53" s="33">
        <v>13</v>
      </c>
      <c r="I53" s="32">
        <v>0</v>
      </c>
      <c r="J53" s="23">
        <f t="shared" si="73"/>
        <v>0</v>
      </c>
      <c r="K53" s="32">
        <v>0</v>
      </c>
      <c r="L53" s="33">
        <f>W53</f>
        <v>0</v>
      </c>
      <c r="M53" s="32">
        <v>0</v>
      </c>
      <c r="N53" s="32"/>
      <c r="O53" s="32"/>
      <c r="P53" s="32"/>
      <c r="Q53" s="32"/>
      <c r="R53" s="32">
        <v>63</v>
      </c>
      <c r="S53" s="32">
        <v>33</v>
      </c>
      <c r="T53" s="32">
        <v>73</v>
      </c>
      <c r="U53" s="32">
        <v>13</v>
      </c>
      <c r="V53" s="32">
        <v>0</v>
      </c>
      <c r="W53" s="32">
        <v>0</v>
      </c>
    </row>
    <row r="54" spans="2:31" x14ac:dyDescent="0.2">
      <c r="B54" s="1" t="s">
        <v>87</v>
      </c>
      <c r="C54" s="32">
        <f t="shared" ref="C54:M54" si="74">SUM(C48:C53)</f>
        <v>1003</v>
      </c>
      <c r="D54" s="33">
        <f t="shared" si="74"/>
        <v>1126</v>
      </c>
      <c r="E54" s="32">
        <f t="shared" si="74"/>
        <v>1137</v>
      </c>
      <c r="F54" s="33">
        <f t="shared" si="74"/>
        <v>1015</v>
      </c>
      <c r="G54" s="32">
        <f t="shared" si="74"/>
        <v>1322</v>
      </c>
      <c r="H54" s="33">
        <f t="shared" si="74"/>
        <v>1380</v>
      </c>
      <c r="I54" s="32">
        <f t="shared" si="74"/>
        <v>1125</v>
      </c>
      <c r="J54" s="33">
        <f t="shared" si="74"/>
        <v>1326</v>
      </c>
      <c r="K54" s="32">
        <f t="shared" si="74"/>
        <v>1141</v>
      </c>
      <c r="L54" s="33">
        <f t="shared" si="74"/>
        <v>1185</v>
      </c>
      <c r="M54" s="32">
        <f t="shared" si="74"/>
        <v>1230</v>
      </c>
      <c r="N54" s="32"/>
      <c r="O54" s="32"/>
      <c r="P54" s="32"/>
      <c r="Q54" s="32"/>
      <c r="R54" s="32">
        <f>SUM(R48:R53)</f>
        <v>1005</v>
      </c>
      <c r="S54" s="32">
        <f>SUM(S48:S53)</f>
        <v>1126</v>
      </c>
      <c r="T54" s="32">
        <f>SUM(T48:T53)</f>
        <v>1015</v>
      </c>
      <c r="U54" s="32">
        <f>SUM(U48:U53)</f>
        <v>1380</v>
      </c>
      <c r="V54" s="32">
        <f>SUM(V48:V53)</f>
        <v>1326</v>
      </c>
      <c r="W54" s="32">
        <f>SUM(W48:W53)</f>
        <v>1185</v>
      </c>
    </row>
    <row r="55" spans="2:31" s="2" customFormat="1" x14ac:dyDescent="0.2">
      <c r="B55" s="2" t="s">
        <v>81</v>
      </c>
      <c r="C55" s="35">
        <v>768</v>
      </c>
      <c r="D55" s="36">
        <v>643</v>
      </c>
      <c r="E55" s="35">
        <v>1001</v>
      </c>
      <c r="F55" s="36">
        <f>T55</f>
        <v>970</v>
      </c>
      <c r="G55" s="35">
        <v>742</v>
      </c>
      <c r="H55" s="36">
        <v>749</v>
      </c>
      <c r="I55" s="35">
        <v>1123</v>
      </c>
      <c r="J55" s="30">
        <f t="shared" ref="J55:J61" si="75">V55</f>
        <v>1044</v>
      </c>
      <c r="K55" s="35">
        <v>1250</v>
      </c>
      <c r="L55" s="36">
        <f>W55</f>
        <v>1243</v>
      </c>
      <c r="M55" s="32">
        <v>1244</v>
      </c>
      <c r="N55" s="32"/>
      <c r="O55" s="32"/>
      <c r="P55" s="32"/>
      <c r="Q55" s="32"/>
      <c r="R55" s="35">
        <v>913</v>
      </c>
      <c r="S55" s="35">
        <v>643</v>
      </c>
      <c r="T55" s="35">
        <v>970</v>
      </c>
      <c r="U55" s="35">
        <v>749</v>
      </c>
      <c r="V55" s="35">
        <v>1044</v>
      </c>
      <c r="W55" s="35">
        <v>1243</v>
      </c>
      <c r="X55" s="59"/>
      <c r="Y55" s="59"/>
      <c r="Z55" s="59"/>
      <c r="AA55" s="59"/>
      <c r="AB55" s="59"/>
      <c r="AC55" s="59"/>
      <c r="AD55" s="59"/>
      <c r="AE55" s="59"/>
    </row>
    <row r="56" spans="2:31" x14ac:dyDescent="0.2">
      <c r="B56" s="1" t="s">
        <v>85</v>
      </c>
      <c r="C56" s="32">
        <v>22</v>
      </c>
      <c r="D56" s="33">
        <v>25</v>
      </c>
      <c r="E56" s="32">
        <v>26</v>
      </c>
      <c r="F56" s="33">
        <f t="shared" ref="F56:F60" si="76">T56</f>
        <v>23</v>
      </c>
      <c r="G56" s="32">
        <v>23</v>
      </c>
      <c r="H56" s="33">
        <v>22</v>
      </c>
      <c r="I56" s="32">
        <v>23</v>
      </c>
      <c r="J56" s="23">
        <f t="shared" si="75"/>
        <v>19</v>
      </c>
      <c r="K56" s="32">
        <v>19</v>
      </c>
      <c r="L56" s="33">
        <f>W56</f>
        <v>19</v>
      </c>
      <c r="M56" s="32">
        <v>20</v>
      </c>
      <c r="N56" s="32"/>
      <c r="O56" s="32"/>
      <c r="P56" s="32"/>
      <c r="Q56" s="32"/>
      <c r="R56" s="32">
        <v>22</v>
      </c>
      <c r="S56" s="32">
        <v>25</v>
      </c>
      <c r="T56" s="32">
        <v>23</v>
      </c>
      <c r="U56" s="32">
        <v>22</v>
      </c>
      <c r="V56" s="32">
        <v>19</v>
      </c>
      <c r="W56" s="32">
        <v>19</v>
      </c>
    </row>
    <row r="57" spans="2:31" x14ac:dyDescent="0.2">
      <c r="B57" s="1" t="s">
        <v>75</v>
      </c>
      <c r="C57" s="32">
        <v>26</v>
      </c>
      <c r="D57" s="33">
        <v>24</v>
      </c>
      <c r="E57" s="32">
        <v>27</v>
      </c>
      <c r="F57" s="33">
        <f t="shared" si="76"/>
        <v>14</v>
      </c>
      <c r="G57" s="32">
        <v>10</v>
      </c>
      <c r="H57" s="33">
        <v>5</v>
      </c>
      <c r="I57" s="32">
        <v>24</v>
      </c>
      <c r="J57" s="23">
        <f t="shared" si="75"/>
        <v>16</v>
      </c>
      <c r="K57" s="32">
        <v>14</v>
      </c>
      <c r="L57" s="33">
        <f t="shared" ref="L57:L61" si="77">W57</f>
        <v>18</v>
      </c>
      <c r="M57" s="32">
        <v>19</v>
      </c>
      <c r="N57" s="32"/>
      <c r="O57" s="32"/>
      <c r="P57" s="32"/>
      <c r="Q57" s="32"/>
      <c r="R57" s="32">
        <v>25</v>
      </c>
      <c r="S57" s="32">
        <v>24</v>
      </c>
      <c r="T57" s="32">
        <v>14</v>
      </c>
      <c r="U57" s="32">
        <v>5</v>
      </c>
      <c r="V57" s="32">
        <v>16</v>
      </c>
      <c r="W57" s="32">
        <v>18</v>
      </c>
    </row>
    <row r="58" spans="2:31" x14ac:dyDescent="0.2">
      <c r="B58" s="1" t="s">
        <v>82</v>
      </c>
      <c r="C58" s="32">
        <v>12</v>
      </c>
      <c r="D58" s="33">
        <v>15</v>
      </c>
      <c r="E58" s="32">
        <v>13</v>
      </c>
      <c r="F58" s="33">
        <f t="shared" si="76"/>
        <v>31</v>
      </c>
      <c r="G58" s="32">
        <v>29</v>
      </c>
      <c r="H58" s="33">
        <v>49</v>
      </c>
      <c r="I58" s="32">
        <v>36</v>
      </c>
      <c r="J58" s="23">
        <f t="shared" si="75"/>
        <v>20</v>
      </c>
      <c r="K58" s="32">
        <v>24</v>
      </c>
      <c r="L58" s="33">
        <f t="shared" si="77"/>
        <v>24</v>
      </c>
      <c r="M58" s="32">
        <v>27</v>
      </c>
      <c r="N58" s="32"/>
      <c r="O58" s="32"/>
      <c r="P58" s="32"/>
      <c r="Q58" s="32"/>
      <c r="R58" s="32">
        <v>11</v>
      </c>
      <c r="S58" s="32">
        <v>15</v>
      </c>
      <c r="T58" s="32">
        <v>31</v>
      </c>
      <c r="U58" s="32">
        <v>49</v>
      </c>
      <c r="V58" s="32">
        <v>20</v>
      </c>
      <c r="W58" s="32">
        <v>24</v>
      </c>
    </row>
    <row r="59" spans="2:31" x14ac:dyDescent="0.2">
      <c r="B59" s="1" t="s">
        <v>80</v>
      </c>
      <c r="C59" s="32">
        <v>7</v>
      </c>
      <c r="D59" s="33">
        <v>7</v>
      </c>
      <c r="E59" s="32">
        <v>6</v>
      </c>
      <c r="F59" s="33">
        <f t="shared" si="76"/>
        <v>3</v>
      </c>
      <c r="G59" s="32">
        <v>3</v>
      </c>
      <c r="H59" s="33">
        <v>3</v>
      </c>
      <c r="I59" s="32">
        <v>2</v>
      </c>
      <c r="J59" s="23">
        <f t="shared" si="75"/>
        <v>6</v>
      </c>
      <c r="K59" s="32">
        <v>14</v>
      </c>
      <c r="L59" s="33">
        <f t="shared" si="77"/>
        <v>13</v>
      </c>
      <c r="M59" s="32">
        <v>6</v>
      </c>
      <c r="N59" s="32"/>
      <c r="O59" s="32"/>
      <c r="P59" s="32"/>
      <c r="Q59" s="32"/>
      <c r="R59" s="32">
        <v>8</v>
      </c>
      <c r="S59" s="32">
        <v>7</v>
      </c>
      <c r="T59" s="32">
        <v>3</v>
      </c>
      <c r="U59" s="32">
        <v>3</v>
      </c>
      <c r="V59" s="32">
        <v>6</v>
      </c>
      <c r="W59" s="32">
        <v>13</v>
      </c>
    </row>
    <row r="60" spans="2:31" x14ac:dyDescent="0.2">
      <c r="B60" s="1" t="s">
        <v>83</v>
      </c>
      <c r="C60" s="32">
        <v>7</v>
      </c>
      <c r="D60" s="33">
        <v>8</v>
      </c>
      <c r="E60" s="32">
        <v>7</v>
      </c>
      <c r="F60" s="33">
        <f t="shared" si="76"/>
        <v>7</v>
      </c>
      <c r="G60" s="32">
        <v>11</v>
      </c>
      <c r="H60" s="33">
        <v>10</v>
      </c>
      <c r="I60" s="32">
        <v>9</v>
      </c>
      <c r="J60" s="23">
        <f t="shared" si="75"/>
        <v>8</v>
      </c>
      <c r="K60" s="32">
        <v>7</v>
      </c>
      <c r="L60" s="33">
        <f t="shared" si="77"/>
        <v>7</v>
      </c>
      <c r="M60" s="32">
        <v>5</v>
      </c>
      <c r="N60" s="32"/>
      <c r="O60" s="32"/>
      <c r="P60" s="32"/>
      <c r="Q60" s="32"/>
      <c r="R60" s="32">
        <v>6</v>
      </c>
      <c r="S60" s="32">
        <v>8</v>
      </c>
      <c r="T60" s="32">
        <v>7</v>
      </c>
      <c r="U60" s="32">
        <v>10</v>
      </c>
      <c r="V60" s="32">
        <v>8</v>
      </c>
      <c r="W60" s="32">
        <v>7</v>
      </c>
    </row>
    <row r="61" spans="2:31" x14ac:dyDescent="0.2">
      <c r="B61" s="1" t="s">
        <v>101</v>
      </c>
      <c r="C61" s="32">
        <v>0</v>
      </c>
      <c r="D61" s="33">
        <v>0</v>
      </c>
      <c r="E61" s="32">
        <v>0</v>
      </c>
      <c r="F61" s="33">
        <v>0</v>
      </c>
      <c r="G61" s="32">
        <v>0</v>
      </c>
      <c r="H61" s="33">
        <v>0</v>
      </c>
      <c r="I61" s="32">
        <v>0</v>
      </c>
      <c r="J61" s="23">
        <f t="shared" si="75"/>
        <v>60</v>
      </c>
      <c r="K61" s="32">
        <v>20</v>
      </c>
      <c r="L61" s="33">
        <f t="shared" si="77"/>
        <v>20</v>
      </c>
      <c r="M61" s="32">
        <v>8</v>
      </c>
      <c r="N61" s="32"/>
      <c r="O61" s="32"/>
      <c r="P61" s="32"/>
      <c r="Q61" s="32"/>
      <c r="R61" s="32">
        <v>0</v>
      </c>
      <c r="S61" s="32">
        <v>0</v>
      </c>
      <c r="T61" s="32">
        <v>0</v>
      </c>
      <c r="U61" s="32">
        <v>0</v>
      </c>
      <c r="V61" s="32">
        <v>60</v>
      </c>
      <c r="W61" s="32">
        <v>20</v>
      </c>
    </row>
    <row r="62" spans="2:31" x14ac:dyDescent="0.2">
      <c r="B62" s="1" t="s">
        <v>84</v>
      </c>
      <c r="C62" s="32">
        <f t="shared" ref="C62:M62" si="78">C54+SUM(C55:C61)</f>
        <v>1845</v>
      </c>
      <c r="D62" s="33">
        <f t="shared" si="78"/>
        <v>1848</v>
      </c>
      <c r="E62" s="32">
        <f t="shared" si="78"/>
        <v>2217</v>
      </c>
      <c r="F62" s="33">
        <f t="shared" si="78"/>
        <v>2063</v>
      </c>
      <c r="G62" s="32">
        <f t="shared" si="78"/>
        <v>2140</v>
      </c>
      <c r="H62" s="33">
        <f t="shared" si="78"/>
        <v>2218</v>
      </c>
      <c r="I62" s="32">
        <f t="shared" si="78"/>
        <v>2342</v>
      </c>
      <c r="J62" s="33">
        <f t="shared" si="78"/>
        <v>2499</v>
      </c>
      <c r="K62" s="32">
        <f t="shared" si="78"/>
        <v>2489</v>
      </c>
      <c r="L62" s="33">
        <f t="shared" si="78"/>
        <v>2529</v>
      </c>
      <c r="M62" s="32">
        <f t="shared" si="78"/>
        <v>2559</v>
      </c>
      <c r="N62" s="32"/>
      <c r="O62" s="32"/>
      <c r="P62" s="32"/>
      <c r="Q62" s="32"/>
      <c r="R62" s="32">
        <f>R54+SUM(R55:R61)</f>
        <v>1990</v>
      </c>
      <c r="S62" s="32">
        <f>S54+SUM(S55:S61)</f>
        <v>1848</v>
      </c>
      <c r="T62" s="32">
        <f>T54+SUM(T55:T61)</f>
        <v>2063</v>
      </c>
      <c r="U62" s="32">
        <f>U54+SUM(U55:U61)</f>
        <v>2218</v>
      </c>
      <c r="V62" s="32">
        <f>V54+SUM(V55:V61)</f>
        <v>2499</v>
      </c>
      <c r="W62" s="32">
        <f>W54+SUM(W55:W61)</f>
        <v>2529</v>
      </c>
    </row>
    <row r="63" spans="2:31" x14ac:dyDescent="0.2">
      <c r="G63" s="32"/>
      <c r="H63" s="33"/>
      <c r="R63" s="32"/>
      <c r="S63" s="32"/>
      <c r="T63" s="32"/>
      <c r="U63" s="32"/>
    </row>
    <row r="64" spans="2:31" s="32" customFormat="1" x14ac:dyDescent="0.2">
      <c r="B64" s="32" t="s">
        <v>88</v>
      </c>
      <c r="C64" s="32">
        <v>1383</v>
      </c>
      <c r="D64" s="33">
        <v>1504</v>
      </c>
      <c r="E64" s="32">
        <v>1624</v>
      </c>
      <c r="F64" s="33">
        <f>T64</f>
        <v>1652</v>
      </c>
      <c r="G64" s="32">
        <v>1304</v>
      </c>
      <c r="H64" s="33">
        <v>1111</v>
      </c>
      <c r="I64" s="32">
        <v>1204</v>
      </c>
      <c r="J64" s="33">
        <f>V64</f>
        <v>1397</v>
      </c>
      <c r="K64" s="32">
        <v>1306</v>
      </c>
      <c r="L64" s="33">
        <f>W64</f>
        <v>1407</v>
      </c>
      <c r="M64" s="32">
        <v>1088</v>
      </c>
      <c r="R64" s="32">
        <v>1327</v>
      </c>
      <c r="S64" s="32">
        <v>1504</v>
      </c>
      <c r="T64" s="32">
        <v>1652</v>
      </c>
      <c r="U64" s="32">
        <v>1111</v>
      </c>
      <c r="V64" s="32">
        <v>1397</v>
      </c>
      <c r="W64" s="32">
        <v>1407</v>
      </c>
      <c r="X64" s="39"/>
      <c r="Y64" s="39"/>
      <c r="Z64" s="39"/>
      <c r="AA64" s="39"/>
      <c r="AB64" s="39"/>
      <c r="AC64" s="39"/>
      <c r="AD64" s="39"/>
      <c r="AE64" s="39"/>
    </row>
    <row r="65" spans="2:31" x14ac:dyDescent="0.2">
      <c r="B65" s="1" t="s">
        <v>89</v>
      </c>
      <c r="C65" s="32">
        <f t="shared" ref="C65:M65" si="79">C64+C62</f>
        <v>3228</v>
      </c>
      <c r="D65" s="33">
        <f t="shared" si="79"/>
        <v>3352</v>
      </c>
      <c r="E65" s="32">
        <f t="shared" si="79"/>
        <v>3841</v>
      </c>
      <c r="F65" s="33">
        <f t="shared" si="79"/>
        <v>3715</v>
      </c>
      <c r="G65" s="32">
        <f t="shared" si="79"/>
        <v>3444</v>
      </c>
      <c r="H65" s="33">
        <f t="shared" si="79"/>
        <v>3329</v>
      </c>
      <c r="I65" s="32">
        <f t="shared" si="79"/>
        <v>3546</v>
      </c>
      <c r="J65" s="33">
        <f t="shared" si="79"/>
        <v>3896</v>
      </c>
      <c r="K65" s="32">
        <f t="shared" si="79"/>
        <v>3795</v>
      </c>
      <c r="L65" s="33">
        <f t="shared" si="79"/>
        <v>3936</v>
      </c>
      <c r="M65" s="32">
        <f t="shared" si="79"/>
        <v>3647</v>
      </c>
      <c r="R65" s="32">
        <f>R64+R62</f>
        <v>3317</v>
      </c>
      <c r="S65" s="32">
        <f>S64+S62</f>
        <v>3352</v>
      </c>
      <c r="T65" s="32">
        <f>T64+T62</f>
        <v>3715</v>
      </c>
      <c r="U65" s="32">
        <f>U64+U62</f>
        <v>3329</v>
      </c>
      <c r="V65" s="32">
        <f>V64+V62</f>
        <v>3896</v>
      </c>
      <c r="W65" s="32">
        <f>W64+W62</f>
        <v>3936</v>
      </c>
    </row>
    <row r="66" spans="2:31" x14ac:dyDescent="0.2">
      <c r="G66" s="32"/>
      <c r="H66" s="33"/>
    </row>
    <row r="67" spans="2:31" x14ac:dyDescent="0.2">
      <c r="B67" s="1" t="s">
        <v>90</v>
      </c>
      <c r="C67" s="32">
        <f t="shared" ref="C67:I67" si="80">C46-C62</f>
        <v>1383</v>
      </c>
      <c r="D67" s="33">
        <f t="shared" si="80"/>
        <v>1504</v>
      </c>
      <c r="E67" s="32">
        <f t="shared" si="80"/>
        <v>1624</v>
      </c>
      <c r="F67" s="33">
        <f t="shared" si="80"/>
        <v>1652</v>
      </c>
      <c r="G67" s="32">
        <f t="shared" si="80"/>
        <v>1304</v>
      </c>
      <c r="H67" s="33">
        <f t="shared" si="80"/>
        <v>1111</v>
      </c>
      <c r="I67" s="32">
        <f t="shared" si="80"/>
        <v>1204</v>
      </c>
      <c r="J67" s="33">
        <f t="shared" ref="J67:L67" si="81">J46-J62</f>
        <v>31</v>
      </c>
      <c r="K67" s="32">
        <f t="shared" ref="J67:K67" si="82">K46-K62</f>
        <v>1306</v>
      </c>
      <c r="L67" s="33">
        <f t="shared" si="81"/>
        <v>1407</v>
      </c>
      <c r="M67" s="32">
        <f t="shared" ref="M67" si="83">M46-M62</f>
        <v>1088</v>
      </c>
      <c r="R67" s="32">
        <f>R46-R62</f>
        <v>1310</v>
      </c>
      <c r="S67" s="32">
        <f>S46-S62</f>
        <v>1504</v>
      </c>
      <c r="T67" s="32">
        <f>T46-T62</f>
        <v>1652</v>
      </c>
      <c r="U67" s="32">
        <f>U46-U62</f>
        <v>1111</v>
      </c>
      <c r="V67" s="32">
        <f t="shared" ref="V67:W67" si="84">V46-V62</f>
        <v>1377</v>
      </c>
      <c r="W67" s="32">
        <f t="shared" si="84"/>
        <v>1407</v>
      </c>
    </row>
    <row r="68" spans="2:31" x14ac:dyDescent="0.2">
      <c r="B68" s="1" t="s">
        <v>91</v>
      </c>
      <c r="C68" s="1">
        <f t="shared" ref="C68:I68" si="85">C67/C15</f>
        <v>1.2734806629834254</v>
      </c>
      <c r="D68" s="23">
        <f t="shared" si="85"/>
        <v>1.3848987108655617</v>
      </c>
      <c r="E68" s="1">
        <f t="shared" si="85"/>
        <v>1.489908256880734</v>
      </c>
      <c r="F68" s="23">
        <f t="shared" si="85"/>
        <v>1.5142071494042164</v>
      </c>
      <c r="G68" s="1">
        <f t="shared" si="85"/>
        <v>1.1919561243144423</v>
      </c>
      <c r="H68" s="23">
        <f t="shared" si="85"/>
        <v>1.0287037037037037</v>
      </c>
      <c r="I68" s="1">
        <f t="shared" si="85"/>
        <v>1.1769305962854351</v>
      </c>
      <c r="J68" s="23">
        <f t="shared" ref="J68:K68" si="86">J67/J15</f>
        <v>3.0392156862745098E-2</v>
      </c>
      <c r="K68" s="1">
        <f t="shared" si="86"/>
        <v>1.2829076620825148</v>
      </c>
      <c r="L68" s="23">
        <f t="shared" ref="L68" si="87">L67/L15</f>
        <v>1.3794117647058823</v>
      </c>
      <c r="M68" s="1">
        <f t="shared" ref="M68" si="88">M67/M15</f>
        <v>1.0708661417322836</v>
      </c>
      <c r="R68" s="1">
        <f>R67/R15</f>
        <v>1.2096029547553093</v>
      </c>
      <c r="S68" s="1">
        <f>S67/S15</f>
        <v>1.3848987108655617</v>
      </c>
      <c r="T68" s="1">
        <f>T67/T15</f>
        <v>1.5142071494042164</v>
      </c>
      <c r="U68" s="1">
        <f>U67/U15</f>
        <v>1.0287037037037037</v>
      </c>
      <c r="V68" s="1">
        <f t="shared" ref="V68:W68" si="89">V67/V15</f>
        <v>1.35</v>
      </c>
      <c r="W68" s="1">
        <f t="shared" si="89"/>
        <v>1.3794117647058823</v>
      </c>
    </row>
    <row r="69" spans="2:31" x14ac:dyDescent="0.2">
      <c r="G69" s="32"/>
    </row>
    <row r="70" spans="2:31" s="38" customFormat="1" x14ac:dyDescent="0.2">
      <c r="B70" s="38" t="s">
        <v>6</v>
      </c>
      <c r="C70" s="39">
        <f t="shared" ref="C70:I70" si="90">C44+C37+C38</f>
        <v>354</v>
      </c>
      <c r="D70" s="40">
        <f t="shared" si="90"/>
        <v>375</v>
      </c>
      <c r="E70" s="39">
        <f t="shared" si="90"/>
        <v>915</v>
      </c>
      <c r="F70" s="40">
        <f t="shared" si="90"/>
        <v>832</v>
      </c>
      <c r="G70" s="39">
        <f t="shared" si="90"/>
        <v>713</v>
      </c>
      <c r="H70" s="40">
        <f t="shared" si="90"/>
        <v>574</v>
      </c>
      <c r="I70" s="39">
        <f t="shared" si="90"/>
        <v>519</v>
      </c>
      <c r="J70" s="40">
        <f t="shared" ref="J70:K70" si="91">J44+J37+J38</f>
        <v>493</v>
      </c>
      <c r="K70" s="39">
        <f t="shared" si="91"/>
        <v>581</v>
      </c>
      <c r="L70" s="40">
        <f t="shared" ref="L70" si="92">L44+L37+L38</f>
        <v>701</v>
      </c>
      <c r="M70" s="39">
        <f t="shared" ref="M70" si="93">M44+M37+M38</f>
        <v>467</v>
      </c>
      <c r="R70" s="39">
        <f>R44+R37+R38</f>
        <v>273</v>
      </c>
      <c r="S70" s="39">
        <f>S44+S37+S38</f>
        <v>375</v>
      </c>
      <c r="T70" s="39">
        <f>T44+T37+T38</f>
        <v>832</v>
      </c>
      <c r="U70" s="39">
        <f>U44+U37+U38</f>
        <v>574</v>
      </c>
      <c r="V70" s="39">
        <f t="shared" ref="V70:W70" si="94">V44+V37+V38</f>
        <v>493</v>
      </c>
      <c r="W70" s="39">
        <f t="shared" si="94"/>
        <v>701</v>
      </c>
    </row>
    <row r="71" spans="2:31" s="38" customFormat="1" x14ac:dyDescent="0.2">
      <c r="B71" s="38" t="s">
        <v>7</v>
      </c>
      <c r="C71" s="39">
        <f t="shared" ref="C71:I71" si="95">C50+C55</f>
        <v>773</v>
      </c>
      <c r="D71" s="40">
        <f t="shared" si="95"/>
        <v>765</v>
      </c>
      <c r="E71" s="39">
        <f t="shared" si="95"/>
        <v>1150</v>
      </c>
      <c r="F71" s="40">
        <f t="shared" si="95"/>
        <v>990</v>
      </c>
      <c r="G71" s="39">
        <f t="shared" si="95"/>
        <v>807</v>
      </c>
      <c r="H71" s="40">
        <f t="shared" si="95"/>
        <v>814</v>
      </c>
      <c r="I71" s="39">
        <f t="shared" si="95"/>
        <v>1165</v>
      </c>
      <c r="J71" s="40">
        <f t="shared" ref="J71:K71" si="96">J50+J55</f>
        <v>1222</v>
      </c>
      <c r="K71" s="39">
        <f t="shared" si="96"/>
        <v>1266</v>
      </c>
      <c r="L71" s="40">
        <f t="shared" ref="L71" si="97">L50+L55</f>
        <v>1257</v>
      </c>
      <c r="M71" s="39">
        <f t="shared" ref="M71" si="98">M50+M55</f>
        <v>1259</v>
      </c>
      <c r="R71" s="39">
        <f>R50+R55</f>
        <v>921</v>
      </c>
      <c r="S71" s="39">
        <f>S50+S55</f>
        <v>765</v>
      </c>
      <c r="T71" s="39">
        <f>T50+T55</f>
        <v>990</v>
      </c>
      <c r="U71" s="39">
        <f>U50+U55</f>
        <v>814</v>
      </c>
      <c r="V71" s="39">
        <f t="shared" ref="V71:W71" si="99">V50+V55</f>
        <v>1222</v>
      </c>
      <c r="W71" s="39">
        <f t="shared" si="99"/>
        <v>1257</v>
      </c>
    </row>
    <row r="72" spans="2:31" x14ac:dyDescent="0.2">
      <c r="B72" s="1" t="s">
        <v>8</v>
      </c>
      <c r="C72" s="32">
        <f t="shared" ref="C72:I72" si="100">C70-C71</f>
        <v>-419</v>
      </c>
      <c r="D72" s="33">
        <f t="shared" si="100"/>
        <v>-390</v>
      </c>
      <c r="E72" s="32">
        <f t="shared" si="100"/>
        <v>-235</v>
      </c>
      <c r="F72" s="33">
        <f t="shared" si="100"/>
        <v>-158</v>
      </c>
      <c r="G72" s="32">
        <f t="shared" si="100"/>
        <v>-94</v>
      </c>
      <c r="H72" s="33">
        <f t="shared" si="100"/>
        <v>-240</v>
      </c>
      <c r="I72" s="32">
        <f t="shared" si="100"/>
        <v>-646</v>
      </c>
      <c r="J72" s="33">
        <f t="shared" ref="J72:K72" si="101">J70-J71</f>
        <v>-729</v>
      </c>
      <c r="K72" s="32">
        <f t="shared" si="101"/>
        <v>-685</v>
      </c>
      <c r="L72" s="33">
        <f t="shared" ref="L72" si="102">L70-L71</f>
        <v>-556</v>
      </c>
      <c r="M72" s="32">
        <f t="shared" ref="M72" si="103">M70-M71</f>
        <v>-792</v>
      </c>
      <c r="R72" s="32">
        <f>R70-R71</f>
        <v>-648</v>
      </c>
      <c r="S72" s="32">
        <f>S70-S71</f>
        <v>-390</v>
      </c>
      <c r="T72" s="32">
        <f>T70-T71</f>
        <v>-158</v>
      </c>
      <c r="U72" s="32">
        <f>U70-U71</f>
        <v>-240</v>
      </c>
      <c r="V72" s="32">
        <f t="shared" ref="V72:W72" si="104">V70-V71</f>
        <v>-729</v>
      </c>
      <c r="W72" s="32">
        <f t="shared" si="104"/>
        <v>-556</v>
      </c>
    </row>
    <row r="73" spans="2:31" x14ac:dyDescent="0.2">
      <c r="G73" s="32"/>
    </row>
    <row r="74" spans="2:31" x14ac:dyDescent="0.2">
      <c r="B74" s="1" t="s">
        <v>98</v>
      </c>
      <c r="K74" s="1">
        <v>7.56</v>
      </c>
      <c r="L74" s="23">
        <f>W74</f>
        <v>9.7170000000000005</v>
      </c>
      <c r="M74" s="1">
        <v>12.57</v>
      </c>
      <c r="R74" s="1">
        <v>5.3022</v>
      </c>
      <c r="S74" s="1">
        <v>6.9139999999999997</v>
      </c>
      <c r="T74" s="1">
        <v>7.2080000000000002</v>
      </c>
      <c r="U74" s="1">
        <v>7.0960000000000001</v>
      </c>
      <c r="V74" s="1">
        <v>6.9720000000000004</v>
      </c>
      <c r="W74" s="1">
        <v>9.7170000000000005</v>
      </c>
    </row>
    <row r="75" spans="2:31" x14ac:dyDescent="0.2">
      <c r="B75" s="1" t="s">
        <v>99</v>
      </c>
      <c r="K75" s="16">
        <f t="shared" ref="K75" si="105">K74*K15</f>
        <v>7696.08</v>
      </c>
      <c r="L75" s="33">
        <f>L74*L15</f>
        <v>9911.34</v>
      </c>
      <c r="M75" s="16">
        <f t="shared" ref="M75" si="106">M74*M15</f>
        <v>12771.12</v>
      </c>
      <c r="R75" s="16">
        <f t="shared" ref="R75:U75" si="107">R74*R15</f>
        <v>5742.2826000000005</v>
      </c>
      <c r="S75" s="16">
        <f t="shared" si="107"/>
        <v>7508.6039999999994</v>
      </c>
      <c r="T75" s="16">
        <f t="shared" si="107"/>
        <v>7863.9279999999999</v>
      </c>
      <c r="U75" s="16">
        <f t="shared" si="107"/>
        <v>7663.68</v>
      </c>
      <c r="V75" s="16">
        <f>V74*V15</f>
        <v>7111.4400000000005</v>
      </c>
      <c r="W75" s="16">
        <f>W74*W15</f>
        <v>9911.34</v>
      </c>
    </row>
    <row r="76" spans="2:31" x14ac:dyDescent="0.2">
      <c r="B76" s="1" t="s">
        <v>9</v>
      </c>
      <c r="K76" s="32">
        <f t="shared" ref="K76" si="108">K75-K72</f>
        <v>8381.08</v>
      </c>
      <c r="L76" s="33">
        <f>L75-L72</f>
        <v>10467.34</v>
      </c>
      <c r="M76" s="32">
        <f t="shared" ref="M76" si="109">M75-M72</f>
        <v>13563.12</v>
      </c>
      <c r="R76" s="32">
        <f t="shared" ref="R76:U76" si="110">R75-R72</f>
        <v>6390.2826000000005</v>
      </c>
      <c r="S76" s="32">
        <f t="shared" si="110"/>
        <v>7898.6039999999994</v>
      </c>
      <c r="T76" s="32">
        <f t="shared" si="110"/>
        <v>8021.9279999999999</v>
      </c>
      <c r="U76" s="32">
        <f t="shared" si="110"/>
        <v>7903.68</v>
      </c>
      <c r="V76" s="32">
        <f>V75-V72</f>
        <v>7840.4400000000005</v>
      </c>
      <c r="W76" s="32">
        <f>W75-W72</f>
        <v>10467.34</v>
      </c>
    </row>
    <row r="78" spans="2:31" s="47" customFormat="1" x14ac:dyDescent="0.2">
      <c r="B78" s="47" t="s">
        <v>23</v>
      </c>
      <c r="D78" s="93"/>
      <c r="F78" s="93"/>
      <c r="H78" s="93"/>
      <c r="J78" s="93"/>
      <c r="K78" s="47">
        <f>K74/K68</f>
        <v>5.8928637059724345</v>
      </c>
      <c r="L78" s="93">
        <f>L74/L68</f>
        <v>7.0443070362473348</v>
      </c>
      <c r="M78" s="47">
        <f>M74/M68</f>
        <v>11.738161764705881</v>
      </c>
      <c r="R78" s="47">
        <f t="shared" ref="R78:U78" si="111">R74/R68</f>
        <v>4.3834218320610692</v>
      </c>
      <c r="S78" s="47">
        <f t="shared" si="111"/>
        <v>4.9924228723404251</v>
      </c>
      <c r="T78" s="47">
        <f t="shared" si="111"/>
        <v>4.760246973365617</v>
      </c>
      <c r="U78" s="47">
        <f t="shared" si="111"/>
        <v>6.8980018001800181</v>
      </c>
      <c r="V78" s="47">
        <f>V74/V68</f>
        <v>5.1644444444444444</v>
      </c>
      <c r="W78" s="47">
        <f>W74/W68</f>
        <v>7.0443070362473348</v>
      </c>
      <c r="X78" s="94"/>
      <c r="Y78" s="94"/>
      <c r="Z78" s="94"/>
      <c r="AA78" s="94"/>
      <c r="AB78" s="94"/>
      <c r="AC78" s="94"/>
      <c r="AD78" s="94"/>
      <c r="AE78" s="94"/>
    </row>
    <row r="79" spans="2:31" s="47" customFormat="1" x14ac:dyDescent="0.2">
      <c r="B79" s="47" t="s">
        <v>22</v>
      </c>
      <c r="D79" s="93"/>
      <c r="F79" s="93"/>
      <c r="H79" s="93"/>
      <c r="J79" s="93"/>
      <c r="K79" s="47">
        <f>K75/SUM(J4:K4)</f>
        <v>3.6648000000000001</v>
      </c>
      <c r="L79" s="93">
        <f>L75/SUM(K4:L4)</f>
        <v>4.538159340659341</v>
      </c>
      <c r="M79" s="47">
        <f>M75/SUM(L4:M4)</f>
        <v>5.6785771453979548</v>
      </c>
      <c r="R79" s="47">
        <f t="shared" ref="R79:U79" si="112">R75/R4</f>
        <v>3.1106622968580719</v>
      </c>
      <c r="S79" s="47">
        <f t="shared" si="112"/>
        <v>3.878411157024793</v>
      </c>
      <c r="T79" s="47">
        <f t="shared" si="112"/>
        <v>4.1323846558066206</v>
      </c>
      <c r="U79" s="47">
        <f t="shared" si="112"/>
        <v>4.1515059588299028</v>
      </c>
      <c r="V79" s="47">
        <f>V75/V4</f>
        <v>3.6525115562403703</v>
      </c>
      <c r="W79" s="47">
        <f>W75/W4</f>
        <v>4.538159340659341</v>
      </c>
      <c r="X79" s="94"/>
      <c r="Y79" s="94"/>
      <c r="Z79" s="94"/>
      <c r="AA79" s="94"/>
      <c r="AB79" s="94"/>
      <c r="AC79" s="94"/>
      <c r="AD79" s="94"/>
      <c r="AE79" s="94"/>
    </row>
    <row r="80" spans="2:31" s="47" customFormat="1" x14ac:dyDescent="0.2">
      <c r="B80" s="47" t="s">
        <v>103</v>
      </c>
      <c r="D80" s="93"/>
      <c r="F80" s="93"/>
      <c r="H80" s="93"/>
      <c r="J80" s="93"/>
      <c r="K80" s="47">
        <f>K76/SUM(J4:K4)</f>
        <v>3.990990476190476</v>
      </c>
      <c r="L80" s="93">
        <f>L76/SUM(K4:L4)</f>
        <v>4.7927380952380956</v>
      </c>
      <c r="M80" s="47">
        <f>M76/SUM(L4:M4)</f>
        <v>6.0307336594041798</v>
      </c>
      <c r="R80" s="47">
        <f t="shared" ref="R80:U80" si="113">R76/R4</f>
        <v>3.4616915492957747</v>
      </c>
      <c r="S80" s="47">
        <f t="shared" si="113"/>
        <v>4.0798574380165284</v>
      </c>
      <c r="T80" s="47">
        <f t="shared" si="113"/>
        <v>4.2154114555964268</v>
      </c>
      <c r="U80" s="47">
        <f t="shared" si="113"/>
        <v>4.2815167930660891</v>
      </c>
      <c r="V80" s="47">
        <f>V76/V4</f>
        <v>4.0269337442218802</v>
      </c>
      <c r="W80" s="47">
        <f>W76/W4</f>
        <v>4.7927380952380956</v>
      </c>
      <c r="X80" s="94"/>
      <c r="Y80" s="94"/>
      <c r="Z80" s="94"/>
      <c r="AA80" s="94"/>
      <c r="AB80" s="94"/>
      <c r="AC80" s="94"/>
      <c r="AD80" s="94"/>
      <c r="AE80" s="94"/>
    </row>
    <row r="81" spans="2:31" s="47" customFormat="1" x14ac:dyDescent="0.2">
      <c r="B81" s="47" t="s">
        <v>21</v>
      </c>
      <c r="D81" s="93"/>
      <c r="F81" s="93"/>
      <c r="H81" s="93"/>
      <c r="J81" s="93"/>
      <c r="K81" s="47">
        <f>K74/SUM(J14:K14)</f>
        <v>38.137165510406341</v>
      </c>
      <c r="L81" s="93">
        <f>L74/SUM(K14:L14)</f>
        <v>30.10767457821331</v>
      </c>
      <c r="M81" s="47">
        <f>M74/SUM(L14:M14)</f>
        <v>33.249296551160839</v>
      </c>
      <c r="R81" s="47">
        <f t="shared" ref="R81:U81" si="114">R74/R14</f>
        <v>19.465364745762713</v>
      </c>
      <c r="S81" s="47">
        <f t="shared" si="114"/>
        <v>28.227834586466162</v>
      </c>
      <c r="T81" s="47">
        <f t="shared" si="114"/>
        <v>25.367509677419356</v>
      </c>
      <c r="U81" s="47">
        <f t="shared" si="114"/>
        <v>26.890105263157896</v>
      </c>
      <c r="V81" s="47">
        <f>V74/V14</f>
        <v>27.997795275590551</v>
      </c>
      <c r="W81" s="47">
        <f>W74/W14</f>
        <v>30.12565349544073</v>
      </c>
      <c r="X81" s="94"/>
      <c r="Y81" s="94"/>
      <c r="Z81" s="94"/>
      <c r="AA81" s="94"/>
      <c r="AB81" s="94"/>
      <c r="AC81" s="94"/>
      <c r="AD81" s="94"/>
      <c r="AE81" s="94"/>
    </row>
    <row r="84" spans="2:31" x14ac:dyDescent="0.2">
      <c r="B84" s="34" t="s">
        <v>125</v>
      </c>
    </row>
    <row r="85" spans="2:31" x14ac:dyDescent="0.2">
      <c r="B85" s="1" t="s">
        <v>126</v>
      </c>
      <c r="V85" s="1">
        <v>285</v>
      </c>
      <c r="W85" s="1">
        <v>387</v>
      </c>
    </row>
    <row r="86" spans="2:31" x14ac:dyDescent="0.2">
      <c r="B86" s="1" t="s">
        <v>127</v>
      </c>
      <c r="V86" s="1">
        <f>40+12-10</f>
        <v>42</v>
      </c>
      <c r="W86" s="1">
        <f>17+5</f>
        <v>22</v>
      </c>
    </row>
    <row r="87" spans="2:31" x14ac:dyDescent="0.2">
      <c r="B87" s="1" t="s">
        <v>128</v>
      </c>
      <c r="V87" s="1">
        <f>V85-V86</f>
        <v>243</v>
      </c>
      <c r="W87" s="1">
        <f>W85-W86</f>
        <v>365</v>
      </c>
    </row>
  </sheetData>
  <hyperlinks>
    <hyperlink ref="I1" r:id="rId1" xr:uid="{ABB9BCB2-B255-4966-A56C-8C06AE53AAB4}"/>
    <hyperlink ref="E1" r:id="rId2" xr:uid="{8788A2F1-131A-4DB6-BFAD-60E157C05804}"/>
    <hyperlink ref="U1" r:id="rId3" xr:uid="{1BA11437-DB7B-46AF-B538-540ADD6514E3}"/>
    <hyperlink ref="S1" r:id="rId4" xr:uid="{621E12A8-EF21-434E-ABD4-566CA080C868}"/>
    <hyperlink ref="V1" r:id="rId5" xr:uid="{868025EF-C9E4-3A47-BE7A-AE4B223C1AF9}"/>
    <hyperlink ref="K1" r:id="rId6" xr:uid="{EAE8E190-3EE7-45DA-93BE-DF62CC9877E2}"/>
    <hyperlink ref="M1" r:id="rId7" xr:uid="{CF6FF048-1BEC-49D5-995D-CD189447E5D2}"/>
    <hyperlink ref="W1" r:id="rId8" xr:uid="{595D9CB4-21C2-46F0-A481-B81120B90342}"/>
  </hyperlinks>
  <pageMargins left="0.7" right="0.7" top="0.75" bottom="0.75" header="0.3" footer="0.3"/>
  <pageSetup paperSize="256" orientation="portrait" horizontalDpi="203" verticalDpi="203" r:id="rId9"/>
  <ignoredErrors>
    <ignoredError sqref="H6:H8 H11 F6:F8 F11 F13 D6:D8 D11 J6:J11 F41:F60 J36:J46 J54 X6:AE8 L6:L16 L41:L44 L54:L62" formula="1"/>
    <ignoredError sqref="X9:X10" formulaRange="1"/>
  </ignoredErrors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2022-10-03T09:15:04Z</dcterms:created>
  <dcterms:modified xsi:type="dcterms:W3CDTF">2024-10-31T00:24:58Z</dcterms:modified>
</cp:coreProperties>
</file>