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B8C0530-80B5-4611-9ED5-CC4E7892253E}" xr6:coauthVersionLast="36" xr6:coauthVersionMax="47" xr10:uidLastSave="{00000000-0000-0000-0000-000000000000}"/>
  <bookViews>
    <workbookView xWindow="0" yWindow="495" windowWidth="33525" windowHeight="18900" xr2:uid="{82812E1B-B9E5-4968-9C43-2C9046B85BEB}"/>
  </bookViews>
  <sheets>
    <sheet name="Main" sheetId="1" r:id="rId1"/>
    <sheet name="Financial Model" sheetId="2" r:id="rId2"/>
    <sheet name="Broker Ratin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W3" i="2" s="1"/>
  <c r="X3" i="2" s="1"/>
  <c r="K76" i="2"/>
  <c r="I76" i="2"/>
  <c r="G76" i="2"/>
  <c r="E76" i="2"/>
  <c r="C76" i="2"/>
  <c r="K65" i="2" l="1"/>
  <c r="K64" i="2"/>
  <c r="K49" i="2"/>
  <c r="K59" i="2" s="1"/>
  <c r="K62" i="2" s="1"/>
  <c r="K39" i="2"/>
  <c r="K43" i="2" s="1"/>
  <c r="K66" i="2" l="1"/>
  <c r="K71" i="2"/>
  <c r="K72" i="2" s="1"/>
  <c r="K68" i="2"/>
  <c r="K30" i="2"/>
  <c r="K26" i="2"/>
  <c r="K6" i="2"/>
  <c r="K7" i="2" s="1"/>
  <c r="Q3" i="2"/>
  <c r="R26" i="2" s="1"/>
  <c r="U3" i="2"/>
  <c r="U4" i="2"/>
  <c r="V4" i="2" s="1"/>
  <c r="W4" i="2" s="1"/>
  <c r="Q5" i="2"/>
  <c r="Q6" i="2" s="1"/>
  <c r="R5" i="2"/>
  <c r="R6" i="2" s="1"/>
  <c r="R7" i="2" s="1"/>
  <c r="U5" i="2"/>
  <c r="V5" i="2" s="1"/>
  <c r="S6" i="2"/>
  <c r="S7" i="2" s="1"/>
  <c r="S11" i="2" s="1"/>
  <c r="T6" i="2"/>
  <c r="T7" i="2" s="1"/>
  <c r="T11" i="2" s="1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U10" i="2"/>
  <c r="V10" i="2" s="1"/>
  <c r="W10" i="2" s="1"/>
  <c r="X10" i="2" s="1"/>
  <c r="Y10" i="2" s="1"/>
  <c r="Z10" i="2" s="1"/>
  <c r="Q14" i="2"/>
  <c r="U19" i="2"/>
  <c r="V19" i="2" s="1"/>
  <c r="S26" i="2"/>
  <c r="T26" i="2"/>
  <c r="AL26" i="2"/>
  <c r="C34" i="1" l="1"/>
  <c r="K73" i="2"/>
  <c r="K80" i="2" s="1"/>
  <c r="K69" i="2"/>
  <c r="K77" i="2"/>
  <c r="U6" i="2"/>
  <c r="U7" i="2" s="1"/>
  <c r="U11" i="2" s="1"/>
  <c r="K11" i="2"/>
  <c r="K21" i="2"/>
  <c r="U26" i="2"/>
  <c r="U16" i="2"/>
  <c r="Q7" i="2"/>
  <c r="Q21" i="2" s="1"/>
  <c r="R11" i="2"/>
  <c r="R22" i="2" s="1"/>
  <c r="R21" i="2"/>
  <c r="W19" i="2"/>
  <c r="X19" i="2" s="1"/>
  <c r="Y19" i="2" s="1"/>
  <c r="S21" i="2"/>
  <c r="X4" i="2"/>
  <c r="T22" i="2"/>
  <c r="T15" i="2"/>
  <c r="S22" i="2"/>
  <c r="S15" i="2"/>
  <c r="AA10" i="2"/>
  <c r="AB10" i="2" s="1"/>
  <c r="AC10" i="2" s="1"/>
  <c r="AD10" i="2" s="1"/>
  <c r="AE10" i="2" s="1"/>
  <c r="AF10" i="2" s="1"/>
  <c r="AG10" i="2" s="1"/>
  <c r="AH10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V6" i="2"/>
  <c r="V7" i="2" s="1"/>
  <c r="V26" i="2"/>
  <c r="V16" i="2"/>
  <c r="T21" i="2"/>
  <c r="K22" i="2" l="1"/>
  <c r="K15" i="2"/>
  <c r="U15" i="2"/>
  <c r="U24" i="2" s="1"/>
  <c r="U22" i="2"/>
  <c r="Q11" i="2"/>
  <c r="Q22" i="2" s="1"/>
  <c r="U21" i="2"/>
  <c r="R15" i="2"/>
  <c r="R17" i="2" s="1"/>
  <c r="Z19" i="2"/>
  <c r="V11" i="2"/>
  <c r="V21" i="2"/>
  <c r="S17" i="2"/>
  <c r="S24" i="2"/>
  <c r="T24" i="2"/>
  <c r="T17" i="2"/>
  <c r="Y4" i="2"/>
  <c r="X6" i="2"/>
  <c r="W6" i="2"/>
  <c r="W7" i="2" s="1"/>
  <c r="W26" i="2"/>
  <c r="W16" i="2"/>
  <c r="Q15" i="2" l="1"/>
  <c r="Q17" i="2" s="1"/>
  <c r="R24" i="2"/>
  <c r="K24" i="2"/>
  <c r="K17" i="2"/>
  <c r="U17" i="2"/>
  <c r="U18" i="2" s="1"/>
  <c r="T18" i="2"/>
  <c r="C35" i="1" s="1"/>
  <c r="T23" i="2"/>
  <c r="W11" i="2"/>
  <c r="W21" i="2"/>
  <c r="Z4" i="2"/>
  <c r="Y6" i="2"/>
  <c r="S23" i="2"/>
  <c r="S18" i="2"/>
  <c r="Q24" i="2"/>
  <c r="AA19" i="2"/>
  <c r="X26" i="2"/>
  <c r="Y3" i="2"/>
  <c r="X16" i="2"/>
  <c r="X7" i="2"/>
  <c r="V15" i="2"/>
  <c r="V22" i="2"/>
  <c r="R18" i="2"/>
  <c r="R23" i="2"/>
  <c r="L14" i="2"/>
  <c r="L13" i="2"/>
  <c r="L12" i="2"/>
  <c r="K23" i="2" l="1"/>
  <c r="K18" i="2"/>
  <c r="U23" i="2"/>
  <c r="AA4" i="2"/>
  <c r="Z6" i="2"/>
  <c r="Z3" i="2"/>
  <c r="Y26" i="2"/>
  <c r="Y7" i="2"/>
  <c r="Y16" i="2"/>
  <c r="X11" i="2"/>
  <c r="X21" i="2"/>
  <c r="W15" i="2"/>
  <c r="W22" i="2"/>
  <c r="Q18" i="2"/>
  <c r="Q23" i="2"/>
  <c r="V17" i="2"/>
  <c r="V24" i="2"/>
  <c r="AB19" i="2"/>
  <c r="AC19" i="2" s="1"/>
  <c r="T65" i="2"/>
  <c r="S65" i="2"/>
  <c r="R65" i="2"/>
  <c r="Q65" i="2"/>
  <c r="I65" i="2"/>
  <c r="G65" i="2"/>
  <c r="E65" i="2"/>
  <c r="C65" i="2"/>
  <c r="T64" i="2"/>
  <c r="T68" i="2" s="1"/>
  <c r="S64" i="2"/>
  <c r="S68" i="2" s="1"/>
  <c r="R64" i="2"/>
  <c r="R68" i="2" s="1"/>
  <c r="Q64" i="2"/>
  <c r="Q68" i="2" s="1"/>
  <c r="I64" i="2"/>
  <c r="I68" i="2" s="1"/>
  <c r="G64" i="2"/>
  <c r="G68" i="2" s="1"/>
  <c r="E64" i="2"/>
  <c r="E68" i="2" s="1"/>
  <c r="C64" i="2"/>
  <c r="C68" i="2" s="1"/>
  <c r="E30" i="2"/>
  <c r="G30" i="2"/>
  <c r="I30" i="2"/>
  <c r="H30" i="2"/>
  <c r="F30" i="2"/>
  <c r="D30" i="2"/>
  <c r="J30" i="2"/>
  <c r="S30" i="2"/>
  <c r="R30" i="2"/>
  <c r="T30" i="2"/>
  <c r="C66" i="2" l="1"/>
  <c r="Y11" i="2"/>
  <c r="Y21" i="2"/>
  <c r="Z7" i="2"/>
  <c r="Z26" i="2"/>
  <c r="AA3" i="2"/>
  <c r="Z16" i="2"/>
  <c r="V18" i="2"/>
  <c r="V23" i="2"/>
  <c r="W17" i="2"/>
  <c r="W24" i="2"/>
  <c r="AD19" i="2"/>
  <c r="AE19" i="2" s="1"/>
  <c r="AF19" i="2" s="1"/>
  <c r="X22" i="2"/>
  <c r="X15" i="2"/>
  <c r="AB4" i="2"/>
  <c r="AA6" i="2"/>
  <c r="T66" i="2"/>
  <c r="T69" i="2" s="1"/>
  <c r="S66" i="2"/>
  <c r="S69" i="2" s="1"/>
  <c r="G66" i="2"/>
  <c r="R66" i="2"/>
  <c r="R69" i="2" s="1"/>
  <c r="E66" i="2"/>
  <c r="Q66" i="2"/>
  <c r="Q69" i="2" s="1"/>
  <c r="I66" i="2"/>
  <c r="E69" i="2" l="1"/>
  <c r="E77" i="2"/>
  <c r="G69" i="2"/>
  <c r="G77" i="2"/>
  <c r="I69" i="2"/>
  <c r="I77" i="2"/>
  <c r="C69" i="2"/>
  <c r="C77" i="2"/>
  <c r="X17" i="2"/>
  <c r="X24" i="2"/>
  <c r="AB6" i="2"/>
  <c r="AC4" i="2"/>
  <c r="Z21" i="2"/>
  <c r="Z11" i="2"/>
  <c r="AA7" i="2"/>
  <c r="AA16" i="2"/>
  <c r="AB3" i="2"/>
  <c r="AA26" i="2"/>
  <c r="Y22" i="2"/>
  <c r="Y15" i="2"/>
  <c r="W23" i="2"/>
  <c r="W18" i="2"/>
  <c r="AG19" i="2"/>
  <c r="AH19" i="2" s="1"/>
  <c r="AB26" i="2" l="1"/>
  <c r="AB16" i="2"/>
  <c r="AC3" i="2"/>
  <c r="AB7" i="2"/>
  <c r="AA11" i="2"/>
  <c r="AA21" i="2"/>
  <c r="Z15" i="2"/>
  <c r="Z22" i="2"/>
  <c r="Y17" i="2"/>
  <c r="Y24" i="2"/>
  <c r="AC6" i="2"/>
  <c r="AD4" i="2"/>
  <c r="X18" i="2"/>
  <c r="X23" i="2"/>
  <c r="F16" i="2"/>
  <c r="F14" i="2"/>
  <c r="F13" i="2"/>
  <c r="F12" i="2"/>
  <c r="D19" i="2"/>
  <c r="F19" i="2"/>
  <c r="F10" i="2"/>
  <c r="F9" i="2"/>
  <c r="F8" i="2"/>
  <c r="F4" i="2"/>
  <c r="F3" i="2"/>
  <c r="E53" i="2"/>
  <c r="E49" i="2"/>
  <c r="E39" i="2"/>
  <c r="E43" i="2" s="1"/>
  <c r="E5" i="2"/>
  <c r="E6" i="2" s="1"/>
  <c r="E7" i="2" s="1"/>
  <c r="D46" i="2"/>
  <c r="C49" i="2"/>
  <c r="C39" i="2"/>
  <c r="C43" i="2" s="1"/>
  <c r="D16" i="2"/>
  <c r="D13" i="2"/>
  <c r="D12" i="2"/>
  <c r="D10" i="2"/>
  <c r="D9" i="2"/>
  <c r="D8" i="2"/>
  <c r="D4" i="2"/>
  <c r="C5" i="2"/>
  <c r="C6" i="2" s="1"/>
  <c r="C7" i="2" s="1"/>
  <c r="C59" i="2" l="1"/>
  <c r="C71" i="2" s="1"/>
  <c r="C72" i="2" s="1"/>
  <c r="C73" i="2" s="1"/>
  <c r="C80" i="2" s="1"/>
  <c r="E59" i="2"/>
  <c r="E71" i="2" s="1"/>
  <c r="E72" i="2" s="1"/>
  <c r="E73" i="2" s="1"/>
  <c r="E80" i="2" s="1"/>
  <c r="Y23" i="2"/>
  <c r="Y18" i="2"/>
  <c r="Z17" i="2"/>
  <c r="Z24" i="2"/>
  <c r="AA22" i="2"/>
  <c r="AA15" i="2"/>
  <c r="AB11" i="2"/>
  <c r="AB21" i="2"/>
  <c r="AC16" i="2"/>
  <c r="AD3" i="2"/>
  <c r="AC7" i="2"/>
  <c r="AC26" i="2"/>
  <c r="AD6" i="2"/>
  <c r="AE4" i="2"/>
  <c r="E21" i="2"/>
  <c r="E11" i="2"/>
  <c r="C21" i="2"/>
  <c r="C11" i="2"/>
  <c r="D61" i="2"/>
  <c r="D57" i="2"/>
  <c r="D56" i="2"/>
  <c r="D55" i="2"/>
  <c r="D54" i="2"/>
  <c r="D53" i="2"/>
  <c r="D52" i="2"/>
  <c r="D51" i="2"/>
  <c r="D48" i="2"/>
  <c r="D47" i="2"/>
  <c r="D45" i="2"/>
  <c r="D41" i="2"/>
  <c r="D40" i="2"/>
  <c r="D38" i="2"/>
  <c r="D37" i="2"/>
  <c r="D36" i="2"/>
  <c r="D35" i="2"/>
  <c r="D34" i="2"/>
  <c r="D33" i="2"/>
  <c r="E26" i="2"/>
  <c r="G27" i="2"/>
  <c r="G26" i="2"/>
  <c r="F27" i="2"/>
  <c r="F61" i="2"/>
  <c r="F57" i="2"/>
  <c r="F56" i="2"/>
  <c r="F55" i="2"/>
  <c r="F54" i="2"/>
  <c r="F53" i="2"/>
  <c r="F52" i="2"/>
  <c r="F51" i="2"/>
  <c r="F48" i="2"/>
  <c r="F47" i="2"/>
  <c r="F46" i="2"/>
  <c r="F45" i="2"/>
  <c r="F40" i="2"/>
  <c r="F41" i="2"/>
  <c r="F38" i="2"/>
  <c r="F37" i="2"/>
  <c r="F36" i="2"/>
  <c r="F35" i="2"/>
  <c r="F34" i="2"/>
  <c r="F33" i="2"/>
  <c r="G49" i="2"/>
  <c r="G39" i="2"/>
  <c r="G43" i="2" s="1"/>
  <c r="H61" i="2"/>
  <c r="H48" i="2"/>
  <c r="H47" i="2"/>
  <c r="H46" i="2"/>
  <c r="H45" i="2"/>
  <c r="H41" i="2"/>
  <c r="H57" i="2"/>
  <c r="H56" i="2"/>
  <c r="H55" i="2"/>
  <c r="H54" i="2"/>
  <c r="H53" i="2"/>
  <c r="H52" i="2"/>
  <c r="H51" i="2"/>
  <c r="H40" i="2"/>
  <c r="H38" i="2"/>
  <c r="H37" i="2"/>
  <c r="H36" i="2"/>
  <c r="H35" i="2"/>
  <c r="H34" i="2"/>
  <c r="H33" i="2"/>
  <c r="J61" i="2"/>
  <c r="J57" i="2"/>
  <c r="J56" i="2"/>
  <c r="J55" i="2"/>
  <c r="J54" i="2"/>
  <c r="J53" i="2"/>
  <c r="J52" i="2"/>
  <c r="J51" i="2"/>
  <c r="J48" i="2"/>
  <c r="J47" i="2"/>
  <c r="J46" i="2"/>
  <c r="J45" i="2"/>
  <c r="J41" i="2"/>
  <c r="J40" i="2"/>
  <c r="J38" i="2"/>
  <c r="J37" i="2"/>
  <c r="J36" i="2"/>
  <c r="J64" i="2" s="1"/>
  <c r="J35" i="2"/>
  <c r="J34" i="2"/>
  <c r="J33" i="2"/>
  <c r="I49" i="2"/>
  <c r="I39" i="2"/>
  <c r="I43" i="2" s="1"/>
  <c r="E62" i="2" l="1"/>
  <c r="C62" i="2"/>
  <c r="G59" i="2"/>
  <c r="G71" i="2" s="1"/>
  <c r="G72" i="2" s="1"/>
  <c r="G73" i="2" s="1"/>
  <c r="G80" i="2" s="1"/>
  <c r="I59" i="2"/>
  <c r="I71" i="2" s="1"/>
  <c r="I72" i="2" s="1"/>
  <c r="I73" i="2" s="1"/>
  <c r="I80" i="2" s="1"/>
  <c r="AD16" i="2"/>
  <c r="AE3" i="2"/>
  <c r="AD7" i="2"/>
  <c r="AD26" i="2"/>
  <c r="AF4" i="2"/>
  <c r="AE6" i="2"/>
  <c r="AC11" i="2"/>
  <c r="AC21" i="2"/>
  <c r="AA17" i="2"/>
  <c r="AA24" i="2"/>
  <c r="Z23" i="2"/>
  <c r="Z18" i="2"/>
  <c r="AB15" i="2"/>
  <c r="AB22" i="2"/>
  <c r="D65" i="2"/>
  <c r="F65" i="2"/>
  <c r="J68" i="2"/>
  <c r="J65" i="2"/>
  <c r="J66" i="2" s="1"/>
  <c r="J69" i="2" s="1"/>
  <c r="F64" i="2"/>
  <c r="D64" i="2"/>
  <c r="H39" i="2"/>
  <c r="H43" i="2" s="1"/>
  <c r="H64" i="2"/>
  <c r="H68" i="2" s="1"/>
  <c r="H65" i="2"/>
  <c r="H49" i="2"/>
  <c r="H59" i="2" s="1"/>
  <c r="H62" i="2" s="1"/>
  <c r="J39" i="2"/>
  <c r="F39" i="2"/>
  <c r="F43" i="2" s="1"/>
  <c r="D39" i="2"/>
  <c r="D43" i="2" s="1"/>
  <c r="E22" i="2"/>
  <c r="E15" i="2"/>
  <c r="C22" i="2"/>
  <c r="C15" i="2"/>
  <c r="H19" i="2"/>
  <c r="H16" i="2"/>
  <c r="H14" i="2"/>
  <c r="H13" i="2"/>
  <c r="H12" i="2"/>
  <c r="H10" i="2"/>
  <c r="H9" i="2"/>
  <c r="H8" i="2"/>
  <c r="H5" i="2"/>
  <c r="H4" i="2"/>
  <c r="H3" i="2"/>
  <c r="H26" i="2" s="1"/>
  <c r="J19" i="2"/>
  <c r="J16" i="2"/>
  <c r="J14" i="2"/>
  <c r="J13" i="2"/>
  <c r="J12" i="2"/>
  <c r="J10" i="2"/>
  <c r="J9" i="2"/>
  <c r="J8" i="2"/>
  <c r="J5" i="2"/>
  <c r="J4" i="2"/>
  <c r="J3" i="2"/>
  <c r="K27" i="2" s="1"/>
  <c r="I26" i="2"/>
  <c r="G6" i="2"/>
  <c r="G7" i="2" s="1"/>
  <c r="G11" i="2" s="1"/>
  <c r="I6" i="2"/>
  <c r="Q49" i="2"/>
  <c r="Q39" i="2"/>
  <c r="Q43" i="2" s="1"/>
  <c r="R49" i="2"/>
  <c r="T49" i="2"/>
  <c r="S49" i="2"/>
  <c r="S59" i="2" s="1"/>
  <c r="S62" i="2" s="1"/>
  <c r="R39" i="2"/>
  <c r="R43" i="2" s="1"/>
  <c r="D14" i="2"/>
  <c r="C8" i="1"/>
  <c r="C11" i="1"/>
  <c r="S39" i="2"/>
  <c r="S43" i="2" s="1"/>
  <c r="S71" i="2" s="1"/>
  <c r="S72" i="2" s="1"/>
  <c r="S80" i="2" s="1"/>
  <c r="T39" i="2"/>
  <c r="G62" i="2" l="1"/>
  <c r="H71" i="2"/>
  <c r="H72" i="2" s="1"/>
  <c r="H73" i="2" s="1"/>
  <c r="I62" i="2"/>
  <c r="T43" i="2"/>
  <c r="L5" i="2"/>
  <c r="L6" i="2"/>
  <c r="H6" i="2"/>
  <c r="H7" i="2" s="1"/>
  <c r="H21" i="2" s="1"/>
  <c r="L8" i="2"/>
  <c r="L9" i="2"/>
  <c r="L10" i="2"/>
  <c r="L3" i="2"/>
  <c r="L26" i="2" s="1"/>
  <c r="L4" i="2"/>
  <c r="AC22" i="2"/>
  <c r="AC15" i="2"/>
  <c r="AF6" i="2"/>
  <c r="AG4" i="2"/>
  <c r="AA23" i="2"/>
  <c r="AA18" i="2"/>
  <c r="AB17" i="2"/>
  <c r="AB24" i="2"/>
  <c r="AD21" i="2"/>
  <c r="AD11" i="2"/>
  <c r="AF3" i="2"/>
  <c r="AE26" i="2"/>
  <c r="AE7" i="2"/>
  <c r="AE16" i="2"/>
  <c r="C17" i="2"/>
  <c r="C23" i="2" s="1"/>
  <c r="C24" i="2"/>
  <c r="E17" i="2"/>
  <c r="E18" i="2" s="1"/>
  <c r="E24" i="2"/>
  <c r="F66" i="2"/>
  <c r="F69" i="2" s="1"/>
  <c r="F68" i="2"/>
  <c r="D66" i="2"/>
  <c r="D69" i="2" s="1"/>
  <c r="D68" i="2"/>
  <c r="J6" i="2"/>
  <c r="J7" i="2" s="1"/>
  <c r="H66" i="2"/>
  <c r="H69" i="2" s="1"/>
  <c r="G15" i="2"/>
  <c r="Q59" i="2"/>
  <c r="Q71" i="2" s="1"/>
  <c r="Q72" i="2" s="1"/>
  <c r="Q80" i="2" s="1"/>
  <c r="D49" i="2"/>
  <c r="C12" i="1"/>
  <c r="T59" i="2"/>
  <c r="J49" i="2"/>
  <c r="F5" i="2"/>
  <c r="F6" i="2" s="1"/>
  <c r="F7" i="2" s="1"/>
  <c r="D5" i="2"/>
  <c r="D6" i="2" s="1"/>
  <c r="R59" i="2"/>
  <c r="F59" i="2" s="1"/>
  <c r="F71" i="2" s="1"/>
  <c r="F72" i="2" s="1"/>
  <c r="F73" i="2" s="1"/>
  <c r="F49" i="2"/>
  <c r="D3" i="2"/>
  <c r="J26" i="2"/>
  <c r="J27" i="2"/>
  <c r="H27" i="2"/>
  <c r="G21" i="2"/>
  <c r="I27" i="2"/>
  <c r="G22" i="2"/>
  <c r="I7" i="2"/>
  <c r="R71" i="2" l="1"/>
  <c r="R72" i="2" s="1"/>
  <c r="R80" i="2" s="1"/>
  <c r="J43" i="2"/>
  <c r="T71" i="2"/>
  <c r="T72" i="2" s="1"/>
  <c r="T80" i="2" s="1"/>
  <c r="C18" i="2"/>
  <c r="L27" i="2"/>
  <c r="L7" i="2"/>
  <c r="L16" i="2"/>
  <c r="AB18" i="2"/>
  <c r="AB23" i="2"/>
  <c r="AE21" i="2"/>
  <c r="AE11" i="2"/>
  <c r="AC17" i="2"/>
  <c r="AC24" i="2"/>
  <c r="AD15" i="2"/>
  <c r="AD22" i="2"/>
  <c r="AG6" i="2"/>
  <c r="AH4" i="2"/>
  <c r="AH6" i="2" s="1"/>
  <c r="E23" i="2"/>
  <c r="AF16" i="2"/>
  <c r="AF26" i="2"/>
  <c r="AG3" i="2"/>
  <c r="AF7" i="2"/>
  <c r="H11" i="2"/>
  <c r="H22" i="2" s="1"/>
  <c r="G17" i="2"/>
  <c r="G18" i="2" s="1"/>
  <c r="G24" i="2"/>
  <c r="D7" i="2"/>
  <c r="E27" i="2"/>
  <c r="F26" i="2"/>
  <c r="D27" i="2"/>
  <c r="R62" i="2"/>
  <c r="F62" i="2" s="1"/>
  <c r="F21" i="2"/>
  <c r="F11" i="2"/>
  <c r="T62" i="2"/>
  <c r="J62" i="2" s="1"/>
  <c r="J59" i="2"/>
  <c r="J71" i="2" s="1"/>
  <c r="J72" i="2" s="1"/>
  <c r="J73" i="2" s="1"/>
  <c r="Q62" i="2"/>
  <c r="D62" i="2" s="1"/>
  <c r="D59" i="2"/>
  <c r="D71" i="2" s="1"/>
  <c r="D72" i="2" s="1"/>
  <c r="D73" i="2" s="1"/>
  <c r="J21" i="2"/>
  <c r="J11" i="2"/>
  <c r="I21" i="2"/>
  <c r="I11" i="2"/>
  <c r="H15" i="2" l="1"/>
  <c r="H17" i="2" s="1"/>
  <c r="H23" i="2" s="1"/>
  <c r="L11" i="2"/>
  <c r="L21" i="2"/>
  <c r="AG7" i="2"/>
  <c r="AG11" i="2" s="1"/>
  <c r="AD17" i="2"/>
  <c r="AD24" i="2"/>
  <c r="AE15" i="2"/>
  <c r="AE22" i="2"/>
  <c r="AF11" i="2"/>
  <c r="AF21" i="2"/>
  <c r="AG26" i="2"/>
  <c r="AH3" i="2"/>
  <c r="AG16" i="2"/>
  <c r="AC23" i="2"/>
  <c r="AC18" i="2"/>
  <c r="G23" i="2"/>
  <c r="F15" i="2"/>
  <c r="F22" i="2"/>
  <c r="D21" i="2"/>
  <c r="D11" i="2"/>
  <c r="J22" i="2"/>
  <c r="J15" i="2"/>
  <c r="I22" i="2"/>
  <c r="I15" i="2"/>
  <c r="H24" i="2" l="1"/>
  <c r="AG21" i="2"/>
  <c r="L15" i="2"/>
  <c r="L22" i="2"/>
  <c r="AH7" i="2"/>
  <c r="AH16" i="2"/>
  <c r="AH26" i="2"/>
  <c r="AF15" i="2"/>
  <c r="AF22" i="2"/>
  <c r="AG22" i="2"/>
  <c r="AG15" i="2"/>
  <c r="AG17" i="2" s="1"/>
  <c r="AE17" i="2"/>
  <c r="AE24" i="2"/>
  <c r="AD18" i="2"/>
  <c r="AD23" i="2"/>
  <c r="H18" i="2"/>
  <c r="J17" i="2"/>
  <c r="J23" i="2" s="1"/>
  <c r="J24" i="2"/>
  <c r="F17" i="2"/>
  <c r="F23" i="2" s="1"/>
  <c r="F24" i="2"/>
  <c r="I17" i="2"/>
  <c r="I23" i="2" s="1"/>
  <c r="I24" i="2"/>
  <c r="D22" i="2"/>
  <c r="D15" i="2"/>
  <c r="L17" i="2" l="1"/>
  <c r="L24" i="2"/>
  <c r="J18" i="2"/>
  <c r="AE23" i="2"/>
  <c r="AE18" i="2"/>
  <c r="AG24" i="2"/>
  <c r="AF17" i="2"/>
  <c r="AF24" i="2"/>
  <c r="AG18" i="2"/>
  <c r="AG23" i="2"/>
  <c r="AH11" i="2"/>
  <c r="AH21" i="2"/>
  <c r="I18" i="2"/>
  <c r="F18" i="2"/>
  <c r="D17" i="2"/>
  <c r="D23" i="2" s="1"/>
  <c r="D24" i="2"/>
  <c r="D18" i="2" l="1"/>
  <c r="L23" i="2"/>
  <c r="AH22" i="2"/>
  <c r="AH15" i="2"/>
  <c r="AF18" i="2"/>
  <c r="AF23" i="2"/>
  <c r="AH17" i="2" l="1"/>
  <c r="AH24" i="2"/>
  <c r="AI17" i="2" l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AL22" i="2" s="1"/>
  <c r="AL24" i="2" s="1"/>
  <c r="AL25" i="2" s="1"/>
  <c r="AH18" i="2"/>
  <c r="AH23" i="2"/>
  <c r="L19" i="2"/>
  <c r="L18" i="2" s="1"/>
  <c r="AL27" i="2" l="1"/>
</calcChain>
</file>

<file path=xl/sharedStrings.xml><?xml version="1.0" encoding="utf-8"?>
<sst xmlns="http://schemas.openxmlformats.org/spreadsheetml/2006/main" count="398" uniqueCount="201">
  <si>
    <t>Price</t>
  </si>
  <si>
    <t>Shares</t>
  </si>
  <si>
    <t>MC</t>
  </si>
  <si>
    <t>Cash</t>
  </si>
  <si>
    <t>Debt</t>
  </si>
  <si>
    <t>Net Cash</t>
  </si>
  <si>
    <t>EV</t>
  </si>
  <si>
    <t>888 Holdings Plc.</t>
  </si>
  <si>
    <t>Stock Snapshot</t>
  </si>
  <si>
    <t>Management</t>
  </si>
  <si>
    <t>Strategic investment to launch 888 brand in Africa</t>
  </si>
  <si>
    <t>In March 2022 888 has launched a ploy to break into Africa</t>
  </si>
  <si>
    <t>Joined with 5 industry veterans to launch 888Africa</t>
  </si>
  <si>
    <t>888 Holdings Launch 'Made to Play' global brand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</si>
  <si>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</si>
  <si>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</si>
  <si>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</si>
  <si>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</si>
  <si>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2022 Fine by UK Gambling Commission</t>
  </si>
  <si>
    <t xml:space="preserve">£9.4m fine after investigation revealed social responsibility </t>
  </si>
  <si>
    <t>and money laundering failings</t>
  </si>
  <si>
    <t>888 also received official warning &amp; will undergo auditing</t>
  </si>
  <si>
    <t>William Hill Takeover</t>
  </si>
  <si>
    <t xml:space="preserve">Processing acquisition of William Hill Intl. (non-US) </t>
  </si>
  <si>
    <t>Includes all technology, real estate &amp; talent at William Hill</t>
  </si>
  <si>
    <t>(Excludes US William Hill which is owned by Caesars)</t>
  </si>
  <si>
    <t>Expecting WH takeover to be complete in Q2 2022</t>
  </si>
  <si>
    <t>2021 revenue warning</t>
  </si>
  <si>
    <t>50% revenue growth in 2020</t>
  </si>
  <si>
    <t>Loss in revenue 2018</t>
  </si>
  <si>
    <t xml:space="preserve">Fined record £7.8m by Gambling Commission in August 2017 </t>
  </si>
  <si>
    <t>Company History</t>
  </si>
  <si>
    <t>Founded in 1997, first listed on LSE in 2005. Based in Gibraltar</t>
  </si>
  <si>
    <t>CEO</t>
  </si>
  <si>
    <t>CFO</t>
  </si>
  <si>
    <t>COO</t>
  </si>
  <si>
    <t>Chairman</t>
  </si>
  <si>
    <t>Company cites increased Gambling activity during  2020 COVID-19 lockdowns</t>
  </si>
  <si>
    <t>Following 888 2020FY results company warned it expects tighter regulation</t>
  </si>
  <si>
    <t>to knock-off £50-70m in 2021 revenues</t>
  </si>
  <si>
    <t>H119</t>
  </si>
  <si>
    <t>H219</t>
  </si>
  <si>
    <t>H120</t>
  </si>
  <si>
    <t>H220</t>
  </si>
  <si>
    <t>H121</t>
  </si>
  <si>
    <t>H221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</si>
  <si>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</si>
  <si>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</si>
  <si>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</si>
  <si>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</si>
  <si>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</si>
  <si>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</si>
  <si>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</si>
  <si>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</si>
  <si>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</si>
  <si>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</si>
  <si>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</si>
  <si>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</si>
  <si>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Revenue</t>
  </si>
  <si>
    <t>Mr. Itai Pazner</t>
  </si>
  <si>
    <t>Mr. Yariv Dafna</t>
  </si>
  <si>
    <t>Ms. Naama Kushnir</t>
  </si>
  <si>
    <t>Lord Jon Mendelsohn</t>
  </si>
  <si>
    <t>For the first time 888 launch 'master brand' to unite 888casino, 888sport &amp; 888poker</t>
  </si>
  <si>
    <t>Under 'Made to Play' brand</t>
  </si>
  <si>
    <t>Revenue Growth Y/Y</t>
  </si>
  <si>
    <t>Revenue Growth H/H</t>
  </si>
  <si>
    <t>Tax Rate %</t>
  </si>
  <si>
    <t>Net Margin %</t>
  </si>
  <si>
    <t>Operating Margin %</t>
  </si>
  <si>
    <t>Gross Margin %</t>
  </si>
  <si>
    <t>Gaming Duties</t>
  </si>
  <si>
    <t>Other COGS</t>
  </si>
  <si>
    <t>Total COGS</t>
  </si>
  <si>
    <t>Gross Profit</t>
  </si>
  <si>
    <t>(USD Millions)</t>
  </si>
  <si>
    <t>Marketing Expenses</t>
  </si>
  <si>
    <t>Operating Expenses</t>
  </si>
  <si>
    <t>Exceptional Items</t>
  </si>
  <si>
    <t>Operating Profit</t>
  </si>
  <si>
    <t>Finance Income</t>
  </si>
  <si>
    <t>Finance Expenses</t>
  </si>
  <si>
    <t>Post-tax equity</t>
  </si>
  <si>
    <t>Pretax Income</t>
  </si>
  <si>
    <t>Taxes</t>
  </si>
  <si>
    <t>Net Income</t>
  </si>
  <si>
    <t>EPS</t>
  </si>
  <si>
    <t>Balance Sheet</t>
  </si>
  <si>
    <t>Total NCA</t>
  </si>
  <si>
    <t>Goodwill &amp; OTI</t>
  </si>
  <si>
    <t>Right-of-Use</t>
  </si>
  <si>
    <t>PP&amp;E</t>
  </si>
  <si>
    <t>Non-current prepayments</t>
  </si>
  <si>
    <t>Deferred Taxes</t>
  </si>
  <si>
    <t>Trade &amp; AR</t>
  </si>
  <si>
    <t>Assets</t>
  </si>
  <si>
    <t>Severence Pay</t>
  </si>
  <si>
    <t>Lease Liabilities</t>
  </si>
  <si>
    <t>Total NCL</t>
  </si>
  <si>
    <t>Trade &amp; Other Payables</t>
  </si>
  <si>
    <t>Provisions</t>
  </si>
  <si>
    <t>Income Tax Payable</t>
  </si>
  <si>
    <t>Customer Deposits</t>
  </si>
  <si>
    <t>S/E</t>
  </si>
  <si>
    <t>Liabilities + S/E</t>
  </si>
  <si>
    <t>Liabilities</t>
  </si>
  <si>
    <t>TODO:</t>
  </si>
  <si>
    <t>Revenue breakdown</t>
  </si>
  <si>
    <t>List of fines</t>
  </si>
  <si>
    <t>FY18</t>
  </si>
  <si>
    <t>Loans &amp; Borrowings</t>
  </si>
  <si>
    <t>Investments</t>
  </si>
  <si>
    <t>H218</t>
  </si>
  <si>
    <t>H118</t>
  </si>
  <si>
    <t>(Projected)</t>
  </si>
  <si>
    <t>FY31</t>
  </si>
  <si>
    <t>FY32</t>
  </si>
  <si>
    <t>FY33</t>
  </si>
  <si>
    <t>FY34</t>
  </si>
  <si>
    <t>FY35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</si>
  <si>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</si>
  <si>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</si>
  <si>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</si>
  <si>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</si>
  <si>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</si>
  <si>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</si>
  <si>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</si>
  <si>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888 Launch Sports Illustrated Sportsbook in Virginia</t>
  </si>
  <si>
    <t>Second state launched following 2021 arrival in Colorado.</t>
  </si>
  <si>
    <t>Key Events</t>
  </si>
  <si>
    <t>Offer enhanced in-play markets powered by official data from NBA, NFL, NHL + more</t>
  </si>
  <si>
    <t>888 aim to launch into more states in the coming months</t>
  </si>
  <si>
    <t>USDGBP</t>
  </si>
  <si>
    <t>GBP/USD</t>
  </si>
  <si>
    <t>Net Cash/Desposits</t>
  </si>
  <si>
    <t>Cash/Deposits</t>
  </si>
  <si>
    <t>H122</t>
  </si>
  <si>
    <t>Admit tighter UK gambling restrictions &amp; temp Dutch exit</t>
  </si>
  <si>
    <t>888 Warn of Dent to HY22 Profits, expects £330-335 broadly in-line with expectations</t>
  </si>
  <si>
    <t>Issues £1.02bn debt and borrows further £900m to fund WH acquisition</t>
  </si>
  <si>
    <t>Combined £2.08bn from debt, borrowing &amp; cash (inc. that raised by April placing)</t>
  </si>
  <si>
    <t>Maximum stakes of £2-5 for online casinos, ban on free bets/vip for heavy losers</t>
  </si>
  <si>
    <t>New ombudsman, Gambling commission given new powers &amp; more funding</t>
  </si>
  <si>
    <t>UK Government review of 2005 Gambling Act</t>
  </si>
  <si>
    <t>Online gambling revenues could fall as much as £700m if all proposed goes ahead</t>
  </si>
  <si>
    <t>Analysts suggest this could have a £40m impact on 888]</t>
  </si>
  <si>
    <t>888 Complete Acquisition of William Hill</t>
  </si>
  <si>
    <t>H222</t>
  </si>
  <si>
    <t>-</t>
  </si>
  <si>
    <t>Cashflow Statement</t>
  </si>
  <si>
    <t>Following acquisition group will initially report results in four segments 888 &amp; 3 William Hill segments</t>
  </si>
  <si>
    <t>Profile</t>
  </si>
  <si>
    <t>IR</t>
  </si>
  <si>
    <t>Link</t>
  </si>
  <si>
    <t>HQ</t>
  </si>
  <si>
    <t>Founded</t>
  </si>
  <si>
    <t>Gibraltar</t>
  </si>
  <si>
    <t>GBP/USD %Δ</t>
  </si>
  <si>
    <t>Date</t>
  </si>
  <si>
    <t>Broker</t>
  </si>
  <si>
    <t>Recommendation</t>
  </si>
  <si>
    <t>Old Target</t>
  </si>
  <si>
    <t>New Target</t>
  </si>
  <si>
    <t>Rating Type</t>
  </si>
  <si>
    <t>Berenberg Bank</t>
  </si>
  <si>
    <t>Buy</t>
  </si>
  <si>
    <t>Reiteration</t>
  </si>
  <si>
    <t>JP Morgan Cazenove</t>
  </si>
  <si>
    <t>Neutral</t>
  </si>
  <si>
    <t>Deutsche</t>
  </si>
  <si>
    <t>Canaccord Genuity</t>
  </si>
  <si>
    <t>Peel Hunt Limited</t>
  </si>
  <si>
    <t>Downgrade</t>
  </si>
  <si>
    <t>numis</t>
  </si>
  <si>
    <t>Add</t>
  </si>
  <si>
    <t>Jefferies</t>
  </si>
  <si>
    <t>Overweight</t>
  </si>
  <si>
    <t>Upgrade</t>
  </si>
  <si>
    <t>Hold</t>
  </si>
  <si>
    <t>Bryan, Garnier &amp; Co</t>
  </si>
  <si>
    <t>Share Price</t>
  </si>
  <si>
    <t>Assets Held For Sale</t>
  </si>
  <si>
    <t>Liabilities Held For Sale</t>
  </si>
  <si>
    <t>Book Value</t>
  </si>
  <si>
    <t>Book Value per Share</t>
  </si>
  <si>
    <t>P/B</t>
  </si>
  <si>
    <t>Key Ratios</t>
  </si>
  <si>
    <t>P/E</t>
  </si>
  <si>
    <t>Market Cap</t>
  </si>
  <si>
    <t>Book Value per Share (GBP)</t>
  </si>
  <si>
    <t>Heavy debt in a high rate environment for WH acquisition</t>
  </si>
  <si>
    <t>Uncertainty over ever-delayed UK Govt. whitepaper on gambling</t>
  </si>
  <si>
    <t>888 Holdings launch 888bet in Kenya, Tanzania, Mozambique &amp; Zambia via 888Africa</t>
  </si>
  <si>
    <t>888Africa hit target of four regulated markets within 6 months of founding business</t>
  </si>
  <si>
    <t>Q322</t>
  </si>
  <si>
    <t>P/S</t>
  </si>
  <si>
    <t>EV/S</t>
  </si>
  <si>
    <t>EV/E</t>
  </si>
  <si>
    <t>ROCE</t>
  </si>
  <si>
    <t>888 shares fall 40% as CEO quits following suspension of Middle East VIP service</t>
  </si>
  <si>
    <t xml:space="preserve">Non-exec Chair John Mendelsohn will takeover in the interim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</si>
</sst>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£&quot;#,##0;[Red]\-&quot;£&quot;#,##0"/>
    <numFmt numFmtId="164" formatCode="&quot;£&quot;#,##0.0;[Red]\-&quot;£&quot;#,##0.0"/>
    <numFmt numFmtId="165" formatCode="0.000"/>
    <numFmt numFmtId="166" formatCode="#,##0.0"/>
    <numFmt numFmtId="167" formatCode="#,##0.0_ ;[Red]\-#,##0.0\ "/>
    <numFmt numFmtId="168" formatCode="0.0000"/>
    <numFmt numFmtId="169" formatCode="0.0\x"/>
    <numFmt numFmtId="170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Source Sans Pro"/>
      <family val="2"/>
    </font>
    <font>
      <sz val="11"/>
      <color rgb="FF333333"/>
      <name val="Source Sans Pro"/>
      <family val="2"/>
    </font>
    <font>
      <sz val="11"/>
      <color rgb="FF0084BE"/>
      <name val="Source Sans Pro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6" fontId="4" fillId="0" borderId="0" xfId="0" applyNumberFormat="1" applyFont="1" applyAlignment="1">
      <alignment horizontal="left"/>
    </xf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4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4" borderId="9" xfId="2" applyFont="1" applyFill="1" applyBorder="1"/>
    <xf numFmtId="0" fontId="1" fillId="4" borderId="0" xfId="0" applyFont="1" applyFill="1" applyBorder="1"/>
    <xf numFmtId="0" fontId="1" fillId="4" borderId="10" xfId="0" applyFont="1" applyFill="1" applyBorder="1"/>
    <xf numFmtId="0" fontId="7" fillId="4" borderId="9" xfId="0" applyFont="1" applyFill="1" applyBorder="1"/>
    <xf numFmtId="0" fontId="1" fillId="4" borderId="9" xfId="0" applyFont="1" applyFill="1" applyBorder="1" applyAlignment="1">
      <alignment horizontal="left" indent="1"/>
    </xf>
    <xf numFmtId="0" fontId="6" fillId="4" borderId="9" xfId="0" applyFont="1" applyFill="1" applyBorder="1"/>
    <xf numFmtId="0" fontId="5" fillId="4" borderId="9" xfId="2" applyFill="1" applyBorder="1"/>
    <xf numFmtId="0" fontId="1" fillId="4" borderId="9" xfId="0" applyFont="1" applyFill="1" applyBorder="1"/>
    <xf numFmtId="164" fontId="1" fillId="4" borderId="9" xfId="0" applyNumberFormat="1" applyFont="1" applyFill="1" applyBorder="1"/>
    <xf numFmtId="0" fontId="2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2" fillId="4" borderId="0" xfId="0" applyFont="1" applyFill="1" applyBorder="1"/>
    <xf numFmtId="0" fontId="8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/>
    <xf numFmtId="0" fontId="2" fillId="0" borderId="0" xfId="0" applyFont="1"/>
    <xf numFmtId="0" fontId="2" fillId="4" borderId="15" xfId="0" applyFont="1" applyFill="1" applyBorder="1"/>
    <xf numFmtId="0" fontId="0" fillId="4" borderId="1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 indent="1"/>
    </xf>
    <xf numFmtId="0" fontId="0" fillId="4" borderId="9" xfId="0" applyFont="1" applyFill="1" applyBorder="1" applyAlignment="1">
      <alignment horizontal="left" indent="2"/>
    </xf>
    <xf numFmtId="0" fontId="2" fillId="0" borderId="0" xfId="0" applyFont="1" applyAlignment="1">
      <alignment horizontal="right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4" borderId="9" xfId="0" applyFont="1" applyFill="1" applyBorder="1"/>
    <xf numFmtId="0" fontId="0" fillId="0" borderId="0" xfId="0" applyFont="1"/>
    <xf numFmtId="0" fontId="0" fillId="6" borderId="0" xfId="0" applyFont="1" applyFill="1"/>
    <xf numFmtId="0" fontId="9" fillId="0" borderId="0" xfId="0" applyFont="1"/>
    <xf numFmtId="9" fontId="0" fillId="0" borderId="0" xfId="1" applyFont="1"/>
    <xf numFmtId="14" fontId="10" fillId="0" borderId="0" xfId="0" applyNumberFormat="1" applyFont="1" applyAlignment="1">
      <alignment horizontal="right"/>
    </xf>
    <xf numFmtId="0" fontId="6" fillId="0" borderId="0" xfId="0" applyFont="1"/>
    <xf numFmtId="165" fontId="0" fillId="0" borderId="0" xfId="0" applyNumberFormat="1" applyFont="1"/>
    <xf numFmtId="2" fontId="0" fillId="0" borderId="0" xfId="0" applyNumberFormat="1" applyFont="1"/>
    <xf numFmtId="9" fontId="2" fillId="0" borderId="0" xfId="1" applyFont="1"/>
    <xf numFmtId="0" fontId="0" fillId="0" borderId="5" xfId="0" applyBorder="1" applyAlignment="1">
      <alignment horizontal="right"/>
    </xf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2" fontId="12" fillId="0" borderId="0" xfId="0" applyNumberFormat="1" applyFont="1"/>
    <xf numFmtId="14" fontId="13" fillId="0" borderId="0" xfId="0" applyNumberFormat="1" applyFont="1" applyAlignment="1">
      <alignment horizontal="right"/>
    </xf>
    <xf numFmtId="2" fontId="0" fillId="6" borderId="0" xfId="0" applyNumberFormat="1" applyFill="1"/>
    <xf numFmtId="9" fontId="0" fillId="6" borderId="0" xfId="1" applyFont="1" applyFill="1"/>
    <xf numFmtId="14" fontId="14" fillId="6" borderId="0" xfId="0" applyNumberFormat="1" applyFont="1" applyFill="1" applyAlignment="1">
      <alignment horizontal="right"/>
    </xf>
    <xf numFmtId="9" fontId="0" fillId="0" borderId="0" xfId="0" applyNumberFormat="1"/>
    <xf numFmtId="165" fontId="0" fillId="6" borderId="0" xfId="0" applyNumberFormat="1" applyFill="1"/>
    <xf numFmtId="9" fontId="2" fillId="6" borderId="0" xfId="1" applyFont="1" applyFill="1"/>
    <xf numFmtId="14" fontId="15" fillId="0" borderId="0" xfId="0" applyNumberFormat="1" applyFont="1" applyFill="1" applyAlignment="1">
      <alignment horizontal="right"/>
    </xf>
    <xf numFmtId="0" fontId="14" fillId="0" borderId="0" xfId="0" applyFont="1"/>
    <xf numFmtId="0" fontId="12" fillId="6" borderId="0" xfId="0" applyFont="1" applyFill="1"/>
    <xf numFmtId="0" fontId="11" fillId="6" borderId="0" xfId="0" applyFont="1" applyFill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9" fontId="0" fillId="0" borderId="3" xfId="0" applyNumberFormat="1" applyBorder="1"/>
    <xf numFmtId="167" fontId="0" fillId="0" borderId="5" xfId="0" applyNumberFormat="1" applyBorder="1"/>
    <xf numFmtId="2" fontId="0" fillId="0" borderId="5" xfId="0" applyNumberFormat="1" applyBorder="1"/>
    <xf numFmtId="9" fontId="0" fillId="0" borderId="8" xfId="1" applyFont="1" applyBorder="1"/>
    <xf numFmtId="9" fontId="0" fillId="0" borderId="0" xfId="1" applyNumberFormat="1" applyFont="1"/>
    <xf numFmtId="4" fontId="0" fillId="0" borderId="0" xfId="0" applyNumberFormat="1" applyBorder="1"/>
    <xf numFmtId="4" fontId="0" fillId="0" borderId="7" xfId="0" applyNumberFormat="1" applyBorder="1"/>
    <xf numFmtId="0" fontId="0" fillId="2" borderId="1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2" borderId="6" xfId="0" applyFill="1" applyBorder="1"/>
    <xf numFmtId="168" fontId="0" fillId="0" borderId="0" xfId="0" applyNumberFormat="1"/>
    <xf numFmtId="168" fontId="0" fillId="6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2" xfId="0" applyFill="1" applyBorder="1"/>
    <xf numFmtId="0" fontId="0" fillId="6" borderId="0" xfId="0" applyFill="1" applyBorder="1"/>
    <xf numFmtId="9" fontId="0" fillId="0" borderId="5" xfId="0" applyNumberFormat="1" applyBorder="1"/>
    <xf numFmtId="0" fontId="0" fillId="8" borderId="19" xfId="0" applyFill="1" applyBorder="1" applyAlignment="1">
      <alignment horizontal="center"/>
    </xf>
    <xf numFmtId="169" fontId="16" fillId="0" borderId="0" xfId="0" applyNumberFormat="1" applyFont="1" applyAlignment="1">
      <alignment horizontal="right"/>
    </xf>
    <xf numFmtId="0" fontId="0" fillId="4" borderId="9" xfId="0" applyFont="1" applyFill="1" applyBorder="1" applyAlignment="1">
      <alignment horizontal="left" indent="3"/>
    </xf>
    <xf numFmtId="14" fontId="15" fillId="6" borderId="0" xfId="0" applyNumberFormat="1" applyFont="1" applyFill="1" applyAlignment="1">
      <alignment horizontal="right"/>
    </xf>
    <xf numFmtId="166" fontId="0" fillId="6" borderId="0" xfId="0" applyNumberFormat="1" applyFill="1"/>
    <xf numFmtId="166" fontId="2" fillId="6" borderId="0" xfId="0" applyNumberFormat="1" applyFont="1" applyFill="1"/>
    <xf numFmtId="166" fontId="0" fillId="6" borderId="0" xfId="0" applyNumberFormat="1" applyFont="1" applyFill="1"/>
    <xf numFmtId="0" fontId="0" fillId="0" borderId="0" xfId="0" applyFill="1"/>
    <xf numFmtId="9" fontId="0" fillId="0" borderId="0" xfId="0" applyNumberFormat="1" applyAlignment="1">
      <alignment horizontal="right"/>
    </xf>
    <xf numFmtId="0" fontId="0" fillId="6" borderId="0" xfId="0" applyFont="1" applyFill="1" applyAlignment="1">
      <alignment horizontal="right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9" borderId="0" xfId="0" applyFont="1" applyFill="1" applyAlignment="1">
      <alignment horizontal="right"/>
    </xf>
    <xf numFmtId="14" fontId="15" fillId="9" borderId="0" xfId="0" applyNumberFormat="1" applyFont="1" applyFill="1" applyAlignment="1">
      <alignment horizontal="right"/>
    </xf>
    <xf numFmtId="166" fontId="2" fillId="9" borderId="0" xfId="0" applyNumberFormat="1" applyFont="1" applyFill="1"/>
    <xf numFmtId="166" fontId="0" fillId="9" borderId="0" xfId="0" applyNumberFormat="1" applyFont="1" applyFill="1"/>
    <xf numFmtId="166" fontId="0" fillId="9" borderId="0" xfId="0" applyNumberFormat="1" applyFill="1"/>
    <xf numFmtId="0" fontId="0" fillId="9" borderId="0" xfId="0" applyFill="1"/>
    <xf numFmtId="9" fontId="0" fillId="9" borderId="0" xfId="1" applyFont="1" applyFill="1"/>
    <xf numFmtId="9" fontId="2" fillId="9" borderId="0" xfId="1" applyFont="1" applyFill="1"/>
    <xf numFmtId="0" fontId="2" fillId="9" borderId="0" xfId="0" applyFont="1" applyFill="1"/>
    <xf numFmtId="0" fontId="11" fillId="10" borderId="9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6" borderId="7" xfId="0" applyFont="1" applyFill="1" applyBorder="1"/>
    <xf numFmtId="0" fontId="2" fillId="0" borderId="8" xfId="0" applyFont="1" applyBorder="1"/>
    <xf numFmtId="0" fontId="17" fillId="12" borderId="20" xfId="0" applyFont="1" applyFill="1" applyBorder="1" applyAlignment="1">
      <alignment horizontal="left" vertical="center"/>
    </xf>
    <xf numFmtId="15" fontId="18" fillId="11" borderId="20" xfId="0" applyNumberFormat="1" applyFont="1" applyFill="1" applyBorder="1" applyAlignment="1">
      <alignment horizontal="left" vertical="center"/>
    </xf>
    <xf numFmtId="0" fontId="18" fillId="11" borderId="20" xfId="0" applyFont="1" applyFill="1" applyBorder="1" applyAlignment="1">
      <alignment horizontal="left" vertical="center"/>
    </xf>
    <xf numFmtId="0" fontId="5" fillId="11" borderId="20" xfId="2" applyFill="1" applyBorder="1" applyAlignment="1">
      <alignment horizontal="left" vertical="center"/>
    </xf>
    <xf numFmtId="0" fontId="19" fillId="11" borderId="20" xfId="0" applyFont="1" applyFill="1" applyBorder="1" applyAlignment="1">
      <alignment horizontal="left" vertical="center"/>
    </xf>
    <xf numFmtId="15" fontId="18" fillId="12" borderId="20" xfId="0" applyNumberFormat="1" applyFont="1" applyFill="1" applyBorder="1" applyAlignment="1">
      <alignment horizontal="left" vertical="center"/>
    </xf>
    <xf numFmtId="0" fontId="18" fillId="12" borderId="20" xfId="0" applyFont="1" applyFill="1" applyBorder="1" applyAlignment="1">
      <alignment horizontal="left" vertical="center"/>
    </xf>
    <xf numFmtId="0" fontId="5" fillId="12" borderId="20" xfId="2" applyFill="1" applyBorder="1" applyAlignment="1">
      <alignment horizontal="left" vertical="center"/>
    </xf>
    <xf numFmtId="0" fontId="19" fillId="12" borderId="20" xfId="0" applyFont="1" applyFill="1" applyBorder="1" applyAlignment="1">
      <alignment horizontal="left" vertical="center"/>
    </xf>
    <xf numFmtId="0" fontId="17" fillId="12" borderId="0" xfId="0" applyFont="1" applyFill="1" applyBorder="1" applyAlignment="1">
      <alignment horizontal="left" vertical="center"/>
    </xf>
    <xf numFmtId="14" fontId="14" fillId="0" borderId="0" xfId="0" applyNumberFormat="1" applyFont="1"/>
    <xf numFmtId="2" fontId="0" fillId="0" borderId="0" xfId="0" applyNumberFormat="1"/>
    <xf numFmtId="0" fontId="2" fillId="13" borderId="0" xfId="0" applyFont="1" applyFill="1" applyAlignment="1">
      <alignment horizontal="right"/>
    </xf>
    <xf numFmtId="14" fontId="15" fillId="13" borderId="0" xfId="0" applyNumberFormat="1" applyFont="1" applyFill="1" applyAlignment="1">
      <alignment horizontal="right"/>
    </xf>
    <xf numFmtId="166" fontId="2" fillId="13" borderId="0" xfId="0" applyNumberFormat="1" applyFont="1" applyFill="1"/>
    <xf numFmtId="166" fontId="0" fillId="13" borderId="0" xfId="0" applyNumberFormat="1" applyFont="1" applyFill="1"/>
    <xf numFmtId="166" fontId="0" fillId="13" borderId="0" xfId="0" applyNumberFormat="1" applyFill="1"/>
    <xf numFmtId="0" fontId="0" fillId="13" borderId="0" xfId="0" applyFill="1"/>
    <xf numFmtId="9" fontId="0" fillId="13" borderId="0" xfId="1" applyFont="1" applyFill="1"/>
    <xf numFmtId="9" fontId="2" fillId="13" borderId="0" xfId="1" applyFont="1" applyFill="1"/>
    <xf numFmtId="9" fontId="0" fillId="13" borderId="0" xfId="0" applyNumberFormat="1" applyFill="1"/>
    <xf numFmtId="0" fontId="0" fillId="9" borderId="0" xfId="0" applyFont="1" applyFill="1"/>
    <xf numFmtId="169" fontId="16" fillId="6" borderId="0" xfId="0" applyNumberFormat="1" applyFont="1" applyFill="1" applyAlignment="1">
      <alignment horizontal="right"/>
    </xf>
    <xf numFmtId="170" fontId="0" fillId="6" borderId="0" xfId="0" applyNumberFormat="1" applyFill="1"/>
    <xf numFmtId="170" fontId="11" fillId="0" borderId="0" xfId="0" applyNumberFormat="1" applyFont="1"/>
    <xf numFmtId="170" fontId="0" fillId="0" borderId="0" xfId="0" applyNumberFormat="1"/>
    <xf numFmtId="0" fontId="20" fillId="0" borderId="0" xfId="0" applyFont="1"/>
    <xf numFmtId="0" fontId="20" fillId="9" borderId="0" xfId="0" applyFont="1" applyFill="1"/>
    <xf numFmtId="166" fontId="20" fillId="0" borderId="0" xfId="0" applyNumberFormat="1" applyFont="1"/>
    <xf numFmtId="0" fontId="20" fillId="6" borderId="0" xfId="0" applyFont="1" applyFill="1"/>
    <xf numFmtId="169" fontId="0" fillId="0" borderId="0" xfId="0" applyNumberFormat="1"/>
    <xf numFmtId="9" fontId="1" fillId="6" borderId="0" xfId="1" applyFont="1" applyFill="1"/>
    <xf numFmtId="169" fontId="0" fillId="6" borderId="0" xfId="0" applyNumberFormat="1" applyFill="1"/>
    <xf numFmtId="0" fontId="21" fillId="0" borderId="0" xfId="0" applyFont="1"/>
    <xf numFmtId="169" fontId="0" fillId="4" borderId="0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0" fontId="22" fillId="4" borderId="9" xfId="2" applyFont="1" applyFill="1" applyBorder="1"/>
    <xf numFmtId="0" fontId="21" fillId="4" borderId="9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21" fillId="4" borderId="10" xfId="0" applyFont="1" applyFill="1" applyBorder="1" applyAlignment="1">
      <alignment horizontal="center"/>
    </xf>
    <xf numFmtId="0" fontId="5" fillId="4" borderId="7" xfId="2" applyFill="1" applyBorder="1" applyAlignment="1">
      <alignment horizontal="center"/>
    </xf>
    <xf numFmtId="0" fontId="5" fillId="4" borderId="8" xfId="2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6</xdr:col>
      <xdr:colOff>567748</xdr:colOff>
      <xdr:row>3</xdr:row>
      <xdr:rowOff>89973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0950E1-EE43-4068-821F-EC23E8B3F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90500"/>
          <a:ext cx="1129723" cy="52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4</xdr:row>
      <xdr:rowOff>95250</xdr:rowOff>
    </xdr:from>
    <xdr:to>
      <xdr:col>7</xdr:col>
      <xdr:colOff>363332</xdr:colOff>
      <xdr:row>13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FA2067-9BD4-4AF4-8A35-490B78FDA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914400"/>
          <a:ext cx="1887332" cy="1800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0</xdr:row>
      <xdr:rowOff>114300</xdr:rowOff>
    </xdr:from>
    <xdr:to>
      <xdr:col>29</xdr:col>
      <xdr:colOff>104755</xdr:colOff>
      <xdr:row>18</xdr:row>
      <xdr:rowOff>92075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CF4F5-0EB5-40AE-ADB0-CEB56B35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325" y="114300"/>
          <a:ext cx="6553180" cy="34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9525</xdr:rowOff>
    </xdr:from>
    <xdr:to>
      <xdr:col>11</xdr:col>
      <xdr:colOff>28575</xdr:colOff>
      <xdr:row>87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67570D5-AE70-4194-8881-74AB3522C3EF}"/>
            </a:ext>
          </a:extLst>
        </xdr:cNvPr>
        <xdr:cNvCxnSpPr/>
      </xdr:nvCxnSpPr>
      <xdr:spPr>
        <a:xfrm>
          <a:off x="7515225" y="9525"/>
          <a:ext cx="0" cy="14258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0</xdr:row>
      <xdr:rowOff>0</xdr:rowOff>
    </xdr:from>
    <xdr:to>
      <xdr:col>20</xdr:col>
      <xdr:colOff>9525</xdr:colOff>
      <xdr:row>87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AED2E6-AF7F-4EFB-9C0A-4049012C4638}"/>
            </a:ext>
          </a:extLst>
        </xdr:cNvPr>
        <xdr:cNvCxnSpPr/>
      </xdr:nvCxnSpPr>
      <xdr:spPr>
        <a:xfrm>
          <a:off x="11125200" y="0"/>
          <a:ext cx="0" cy="14106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888.com/investor-centre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uk.advfn.com/stock-market/london/888-888/share-news/888-Holdings-plc-Completion-of-acquisition-of-Will/88501727" TargetMode="External"/><Relationship Id="rId1" Type="http://schemas.openxmlformats.org/officeDocument/2006/relationships/hyperlink" Target="https://www.sharecast.com/news/news-and-announcements/government-poised-to-cap-online-casino-stakes---report--10089136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euters.com/world/uk/british-bookmaker-888-suspends-vip-activities-middle-east-ceo-steps-down-2023-01-30/" TargetMode="External"/><Relationship Id="rId4" Type="http://schemas.openxmlformats.org/officeDocument/2006/relationships/hyperlink" Target="https://www.gamblinginsider.com/news/18500/888bet-goes-live-in-kenya-tanzania-mozambique-and-zamb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berenberg-bank.html" TargetMode="External"/><Relationship Id="rId18" Type="http://schemas.openxmlformats.org/officeDocument/2006/relationships/hyperlink" Target="https://www.lse.co.uk/share-prices/broker-ratings/brokers/canaccord-genuity.html" TargetMode="External"/><Relationship Id="rId26" Type="http://schemas.openxmlformats.org/officeDocument/2006/relationships/hyperlink" Target="https://www.lse.co.uk/share-prices/broker-ratings/brokers/jp-morgan-cazenove.html" TargetMode="External"/><Relationship Id="rId39" Type="http://schemas.openxmlformats.org/officeDocument/2006/relationships/hyperlink" Target="https://www.lse.co.uk/share-prices/broker-ratings/brokers/canaccord-genuity.html" TargetMode="External"/><Relationship Id="rId21" Type="http://schemas.openxmlformats.org/officeDocument/2006/relationships/hyperlink" Target="https://www.lse.co.uk/share-prices/broker-ratings/brokers/berenberg-bank.html" TargetMode="External"/><Relationship Id="rId34" Type="http://schemas.openxmlformats.org/officeDocument/2006/relationships/hyperlink" Target="https://www.lse.co.uk/share-prices/broker-ratings/brokers/peel-hunt-limited.html" TargetMode="External"/><Relationship Id="rId42" Type="http://schemas.openxmlformats.org/officeDocument/2006/relationships/hyperlink" Target="https://www.lse.co.uk/share-prices/broker-ratings/brokers/canaccord-genuity.html" TargetMode="External"/><Relationship Id="rId47" Type="http://schemas.openxmlformats.org/officeDocument/2006/relationships/hyperlink" Target="https://www.lse.co.uk/share-prices/broker-ratings/brokers/canaccord-genuity.html" TargetMode="External"/><Relationship Id="rId50" Type="http://schemas.openxmlformats.org/officeDocument/2006/relationships/hyperlink" Target="https://www.lse.co.uk/share-prices/broker-ratings/brokers/bryan-garnier-co.html" TargetMode="External"/><Relationship Id="rId7" Type="http://schemas.openxmlformats.org/officeDocument/2006/relationships/hyperlink" Target="https://www.lse.co.uk/share-prices/broker-ratings/brokers/canaccord-genuity.html" TargetMode="External"/><Relationship Id="rId2" Type="http://schemas.openxmlformats.org/officeDocument/2006/relationships/hyperlink" Target="https://www.lse.co.uk/share-prices/broker-ratings/brokers/jp-morgan-cazenove.html" TargetMode="External"/><Relationship Id="rId16" Type="http://schemas.openxmlformats.org/officeDocument/2006/relationships/hyperlink" Target="https://www.lse.co.uk/share-prices/broker-ratings/brokers/canaccord-genuity.html" TargetMode="External"/><Relationship Id="rId29" Type="http://schemas.openxmlformats.org/officeDocument/2006/relationships/hyperlink" Target="https://www.lse.co.uk/share-prices/broker-ratings/brokers/jefferies.html" TargetMode="External"/><Relationship Id="rId11" Type="http://schemas.openxmlformats.org/officeDocument/2006/relationships/hyperlink" Target="https://www.lse.co.uk/share-prices/broker-ratings/brokers/berenberg-bank.html" TargetMode="External"/><Relationship Id="rId24" Type="http://schemas.openxmlformats.org/officeDocument/2006/relationships/hyperlink" Target="https://www.lse.co.uk/share-prices/broker-ratings/brokers/canaccord-genuity.html" TargetMode="External"/><Relationship Id="rId32" Type="http://schemas.openxmlformats.org/officeDocument/2006/relationships/hyperlink" Target="https://www.lse.co.uk/share-prices/broker-ratings/brokers/canaccord-genuity.html" TargetMode="External"/><Relationship Id="rId37" Type="http://schemas.openxmlformats.org/officeDocument/2006/relationships/hyperlink" Target="https://www.lse.co.uk/share-prices/broker-ratings/brokers/canaccord-genuity.html" TargetMode="External"/><Relationship Id="rId40" Type="http://schemas.openxmlformats.org/officeDocument/2006/relationships/hyperlink" Target="https://www.lse.co.uk/share-prices/broker-ratings/brokers/numis.html" TargetMode="External"/><Relationship Id="rId45" Type="http://schemas.openxmlformats.org/officeDocument/2006/relationships/hyperlink" Target="https://www.lse.co.uk/share-prices/broker-ratings/brokers/canaccord-genuity.html" TargetMode="External"/><Relationship Id="rId5" Type="http://schemas.openxmlformats.org/officeDocument/2006/relationships/hyperlink" Target="https://www.lse.co.uk/share-prices/broker-ratings/brokers/berenberg-bank.html" TargetMode="External"/><Relationship Id="rId15" Type="http://schemas.openxmlformats.org/officeDocument/2006/relationships/hyperlink" Target="https://www.lse.co.uk/share-prices/broker-ratings/brokers/peel-hunt-limited.html" TargetMode="External"/><Relationship Id="rId23" Type="http://schemas.openxmlformats.org/officeDocument/2006/relationships/hyperlink" Target="https://www.lse.co.uk/share-prices/broker-ratings/brokers/canaccord-genuity.html" TargetMode="External"/><Relationship Id="rId28" Type="http://schemas.openxmlformats.org/officeDocument/2006/relationships/hyperlink" Target="https://www.lse.co.uk/share-prices/broker-ratings/brokers/numis.html" TargetMode="External"/><Relationship Id="rId36" Type="http://schemas.openxmlformats.org/officeDocument/2006/relationships/hyperlink" Target="https://www.lse.co.uk/share-prices/broker-ratings/brokers/numis.html" TargetMode="External"/><Relationship Id="rId49" Type="http://schemas.openxmlformats.org/officeDocument/2006/relationships/hyperlink" Target="https://www.lse.co.uk/share-prices/broker-ratings/brokers/canaccord-genuity.html" TargetMode="External"/><Relationship Id="rId10" Type="http://schemas.openxmlformats.org/officeDocument/2006/relationships/hyperlink" Target="https://www.lse.co.uk/share-prices/broker-ratings/brokers/canaccord-genuity.html" TargetMode="External"/><Relationship Id="rId19" Type="http://schemas.openxmlformats.org/officeDocument/2006/relationships/hyperlink" Target="https://www.lse.co.uk/share-prices/broker-ratings/brokers/berenberg-bank.html" TargetMode="External"/><Relationship Id="rId31" Type="http://schemas.openxmlformats.org/officeDocument/2006/relationships/hyperlink" Target="https://www.lse.co.uk/share-prices/broker-ratings/brokers/deutsche.html" TargetMode="External"/><Relationship Id="rId44" Type="http://schemas.openxmlformats.org/officeDocument/2006/relationships/hyperlink" Target="https://www.lse.co.uk/share-prices/broker-ratings/brokers/numis.html" TargetMode="External"/><Relationship Id="rId4" Type="http://schemas.openxmlformats.org/officeDocument/2006/relationships/hyperlink" Target="https://www.lse.co.uk/share-prices/broker-ratings/brokers/deutsche.html" TargetMode="External"/><Relationship Id="rId9" Type="http://schemas.openxmlformats.org/officeDocument/2006/relationships/hyperlink" Target="https://www.lse.co.uk/share-prices/broker-ratings/brokers/berenberg-bank.html" TargetMode="External"/><Relationship Id="rId14" Type="http://schemas.openxmlformats.org/officeDocument/2006/relationships/hyperlink" Target="https://www.lse.co.uk/share-prices/broker-ratings/brokers/peel-hunt-limited.html" TargetMode="External"/><Relationship Id="rId22" Type="http://schemas.openxmlformats.org/officeDocument/2006/relationships/hyperlink" Target="https://www.lse.co.uk/share-prices/broker-ratings/brokers/peel-hunt-limited.html" TargetMode="External"/><Relationship Id="rId27" Type="http://schemas.openxmlformats.org/officeDocument/2006/relationships/hyperlink" Target="https://www.lse.co.uk/share-prices/broker-ratings/brokers/peel-hunt-limited.html" TargetMode="External"/><Relationship Id="rId30" Type="http://schemas.openxmlformats.org/officeDocument/2006/relationships/hyperlink" Target="https://www.lse.co.uk/share-prices/broker-ratings/brokers/jp-morgan-cazenove.html" TargetMode="External"/><Relationship Id="rId35" Type="http://schemas.openxmlformats.org/officeDocument/2006/relationships/hyperlink" Target="https://www.lse.co.uk/share-prices/broker-ratings/brokers/canaccord-genuity.html" TargetMode="External"/><Relationship Id="rId43" Type="http://schemas.openxmlformats.org/officeDocument/2006/relationships/hyperlink" Target="https://www.lse.co.uk/share-prices/broker-ratings/brokers/canaccord-genuity.html" TargetMode="External"/><Relationship Id="rId48" Type="http://schemas.openxmlformats.org/officeDocument/2006/relationships/hyperlink" Target="https://www.lse.co.uk/share-prices/broker-ratings/brokers/jp-morgan-cazenove.html" TargetMode="External"/><Relationship Id="rId8" Type="http://schemas.openxmlformats.org/officeDocument/2006/relationships/hyperlink" Target="https://www.lse.co.uk/share-prices/broker-ratings/brokers/berenberg-bank.html" TargetMode="External"/><Relationship Id="rId51" Type="http://schemas.openxmlformats.org/officeDocument/2006/relationships/printerSettings" Target="../printerSettings/printerSettings3.bin"/><Relationship Id="rId3" Type="http://schemas.openxmlformats.org/officeDocument/2006/relationships/hyperlink" Target="https://www.lse.co.uk/share-prices/broker-ratings/brokers/berenberg-bank.html" TargetMode="External"/><Relationship Id="rId12" Type="http://schemas.openxmlformats.org/officeDocument/2006/relationships/hyperlink" Target="https://www.lse.co.uk/share-prices/broker-ratings/brokers/berenberg-bank.html" TargetMode="External"/><Relationship Id="rId17" Type="http://schemas.openxmlformats.org/officeDocument/2006/relationships/hyperlink" Target="https://www.lse.co.uk/share-prices/broker-ratings/brokers/berenberg-bank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canaccord-genuity.html" TargetMode="External"/><Relationship Id="rId38" Type="http://schemas.openxmlformats.org/officeDocument/2006/relationships/hyperlink" Target="https://www.lse.co.uk/share-prices/broker-ratings/brokers/canaccord-genuity.html" TargetMode="External"/><Relationship Id="rId46" Type="http://schemas.openxmlformats.org/officeDocument/2006/relationships/hyperlink" Target="https://www.lse.co.uk/share-prices/broker-ratings/brokers/peel-hunt-limited.html" TargetMode="External"/><Relationship Id="rId20" Type="http://schemas.openxmlformats.org/officeDocument/2006/relationships/hyperlink" Target="https://www.lse.co.uk/share-prices/broker-ratings/brokers/berenberg-bank.html" TargetMode="External"/><Relationship Id="rId41" Type="http://schemas.openxmlformats.org/officeDocument/2006/relationships/hyperlink" Target="https://www.lse.co.uk/share-prices/broker-ratings/brokers/canaccord-genuity.html" TargetMode="External"/><Relationship Id="rId1" Type="http://schemas.openxmlformats.org/officeDocument/2006/relationships/hyperlink" Target="https://www.lse.co.uk/share-prices/broker-ratings/brokers/berenberg-bank.html" TargetMode="External"/><Relationship Id="rId6" Type="http://schemas.openxmlformats.org/officeDocument/2006/relationships/hyperlink" Target="https://www.lse.co.uk/share-prices/broker-ratings/brokers/berenberg-ba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2C3-98AA-4801-8F7F-DD6AC2F99904}">
  <dimension ref="B2:S68"/>
  <sheetViews>
    <sheetView tabSelected="1" topLeftCell="A4" workbookViewId="0">
      <selection activeCell="A10" sqref="A10"/>
    </sheetView>
  </sheetViews>
  <sheetFormatPr defaultColWidth="8.85546875" defaultRowHeight="15" x14ac:dyDescent="0.25"/>
  <cols>
    <col min="2" max="2" width="8.85546875" customWidth="1"/>
    <col min="4" max="4" width="13.42578125" customWidth="1"/>
  </cols>
  <sheetData>
    <row r="2" spans="2:17" ht="18.75" x14ac:dyDescent="0.3">
      <c r="B2" s="1">
        <v>888</v>
      </c>
    </row>
    <row r="3" spans="2:17" ht="15.75" x14ac:dyDescent="0.25">
      <c r="B3" s="2" t="s">
        <v>7</v>
      </c>
    </row>
    <row r="5" spans="2:17" x14ac:dyDescent="0.25">
      <c r="B5" s="153" t="s">
        <v>8</v>
      </c>
      <c r="C5" s="154"/>
      <c r="D5" s="155"/>
      <c r="I5" s="150" t="s">
        <v>129</v>
      </c>
      <c r="J5" s="151"/>
      <c r="K5" s="151"/>
      <c r="L5" s="151"/>
      <c r="M5" s="151"/>
      <c r="N5" s="151"/>
      <c r="O5" s="151"/>
      <c r="P5" s="151"/>
      <c r="Q5" s="152"/>
    </row>
    <row r="6" spans="2:17" x14ac:dyDescent="0.25">
      <c r="B6" s="6" t="s">
        <v>0</v>
      </c>
      <c r="C6" s="69">
        <v>0.78</v>
      </c>
      <c r="D6" s="3"/>
      <c r="I6" s="13"/>
      <c r="J6" s="9"/>
      <c r="K6" s="19"/>
      <c r="L6" s="19"/>
      <c r="M6" s="19"/>
      <c r="N6" s="19"/>
      <c r="O6" s="19"/>
      <c r="P6" s="9"/>
      <c r="Q6" s="10"/>
    </row>
    <row r="7" spans="2:17" x14ac:dyDescent="0.25">
      <c r="B7" s="6" t="s">
        <v>1</v>
      </c>
      <c r="C7" s="69">
        <v>406.91529600000001</v>
      </c>
      <c r="D7" s="45" t="s">
        <v>136</v>
      </c>
      <c r="I7" s="148" t="s">
        <v>199</v>
      </c>
      <c r="J7" s="9"/>
      <c r="K7" s="19"/>
      <c r="L7" s="19"/>
      <c r="M7" s="19"/>
      <c r="N7" s="19"/>
      <c r="O7" s="19"/>
      <c r="P7" s="9"/>
      <c r="Q7" s="10"/>
    </row>
    <row r="8" spans="2:17" x14ac:dyDescent="0.25">
      <c r="B8" s="6" t="s">
        <v>2</v>
      </c>
      <c r="C8" s="69">
        <f>C6*C7</f>
        <v>317.39393088000003</v>
      </c>
      <c r="D8" s="3"/>
      <c r="I8" s="29" t="s">
        <v>200</v>
      </c>
      <c r="J8" s="9"/>
      <c r="K8" s="19"/>
      <c r="L8" s="19"/>
      <c r="M8" s="19"/>
      <c r="N8" s="19"/>
      <c r="O8" s="19"/>
      <c r="P8" s="9"/>
      <c r="Q8" s="10"/>
    </row>
    <row r="9" spans="2:17" x14ac:dyDescent="0.25">
      <c r="B9" s="6" t="s">
        <v>3</v>
      </c>
      <c r="C9" s="69">
        <v>186</v>
      </c>
      <c r="D9" s="45" t="s">
        <v>194</v>
      </c>
      <c r="I9" s="13"/>
      <c r="J9" s="9"/>
      <c r="K9" s="19"/>
      <c r="L9" s="19"/>
      <c r="M9" s="19"/>
      <c r="N9" s="19"/>
      <c r="O9" s="19"/>
      <c r="P9" s="9"/>
      <c r="Q9" s="10"/>
    </row>
    <row r="10" spans="2:17" x14ac:dyDescent="0.25">
      <c r="B10" s="6" t="s">
        <v>4</v>
      </c>
      <c r="C10" s="69">
        <v>1810</v>
      </c>
      <c r="D10" s="45" t="s">
        <v>194</v>
      </c>
      <c r="I10" s="14" t="s">
        <v>192</v>
      </c>
      <c r="J10" s="9"/>
      <c r="K10" s="19"/>
      <c r="L10" s="19"/>
      <c r="M10" s="19"/>
      <c r="N10" s="19"/>
      <c r="O10" s="19"/>
      <c r="P10" s="9"/>
      <c r="Q10" s="10"/>
    </row>
    <row r="11" spans="2:17" x14ac:dyDescent="0.25">
      <c r="B11" s="6" t="s">
        <v>5</v>
      </c>
      <c r="C11" s="69">
        <f>C9-C10</f>
        <v>-1624</v>
      </c>
      <c r="D11" s="3"/>
      <c r="I11" s="29" t="s">
        <v>193</v>
      </c>
      <c r="J11" s="9"/>
      <c r="K11" s="19"/>
      <c r="L11" s="19"/>
      <c r="M11" s="19"/>
      <c r="N11" s="19"/>
      <c r="O11" s="19"/>
      <c r="P11" s="9"/>
      <c r="Q11" s="10"/>
    </row>
    <row r="12" spans="2:17" x14ac:dyDescent="0.25">
      <c r="B12" s="7" t="s">
        <v>6</v>
      </c>
      <c r="C12" s="70">
        <f>C8-C11</f>
        <v>1941.39393088</v>
      </c>
      <c r="D12" s="4"/>
      <c r="I12" s="13"/>
      <c r="J12" s="9"/>
      <c r="K12" s="19"/>
      <c r="L12" s="19"/>
      <c r="M12" s="19"/>
      <c r="N12" s="19"/>
      <c r="O12" s="19"/>
      <c r="P12" s="9"/>
      <c r="Q12" s="10"/>
    </row>
    <row r="13" spans="2:17" x14ac:dyDescent="0.25">
      <c r="B13" s="156" t="s">
        <v>132</v>
      </c>
      <c r="C13" s="157"/>
      <c r="D13" s="85">
        <v>0.88</v>
      </c>
      <c r="I13" s="14" t="s">
        <v>146</v>
      </c>
      <c r="J13" s="9"/>
      <c r="K13" s="19"/>
      <c r="L13" s="19"/>
      <c r="M13" s="19"/>
      <c r="N13" s="19"/>
      <c r="O13" s="19"/>
      <c r="P13" s="9"/>
      <c r="Q13" s="10"/>
    </row>
    <row r="14" spans="2:17" x14ac:dyDescent="0.25">
      <c r="I14" s="29" t="s">
        <v>150</v>
      </c>
      <c r="J14" s="9"/>
      <c r="K14" s="19"/>
      <c r="L14" s="19"/>
      <c r="M14" s="19"/>
      <c r="N14" s="19"/>
      <c r="O14" s="19"/>
      <c r="P14" s="9"/>
      <c r="Q14" s="10"/>
    </row>
    <row r="15" spans="2:17" x14ac:dyDescent="0.25">
      <c r="I15" s="13"/>
      <c r="J15" s="9"/>
      <c r="K15" s="19"/>
      <c r="L15" s="19"/>
      <c r="M15" s="19"/>
      <c r="N15" s="19"/>
      <c r="O15" s="19"/>
      <c r="P15" s="9"/>
      <c r="Q15" s="10"/>
    </row>
    <row r="16" spans="2:17" x14ac:dyDescent="0.25">
      <c r="B16" s="153" t="s">
        <v>9</v>
      </c>
      <c r="C16" s="154"/>
      <c r="D16" s="155"/>
      <c r="I16" s="14" t="s">
        <v>143</v>
      </c>
      <c r="J16" s="9"/>
      <c r="K16" s="19"/>
      <c r="L16" s="19"/>
      <c r="M16" s="19"/>
      <c r="N16" s="19"/>
      <c r="O16" s="19"/>
      <c r="P16" s="9"/>
      <c r="Q16" s="10"/>
    </row>
    <row r="17" spans="2:19" x14ac:dyDescent="0.25">
      <c r="B17" s="149" t="s">
        <v>33</v>
      </c>
      <c r="C17" s="166" t="s">
        <v>59</v>
      </c>
      <c r="D17" s="167"/>
      <c r="I17" s="30" t="s">
        <v>141</v>
      </c>
      <c r="J17" s="9"/>
      <c r="K17" s="19"/>
      <c r="L17" s="19"/>
      <c r="M17" s="19"/>
      <c r="N17" s="19"/>
      <c r="O17" s="19"/>
      <c r="P17" s="9"/>
      <c r="Q17" s="10"/>
    </row>
    <row r="18" spans="2:19" x14ac:dyDescent="0.25">
      <c r="B18" s="5" t="s">
        <v>34</v>
      </c>
      <c r="C18" s="164" t="s">
        <v>60</v>
      </c>
      <c r="D18" s="165"/>
      <c r="F18" s="25" t="s">
        <v>106</v>
      </c>
      <c r="I18" s="30" t="s">
        <v>142</v>
      </c>
      <c r="J18" s="9"/>
      <c r="K18" s="19"/>
      <c r="L18" s="19"/>
      <c r="M18" s="19"/>
      <c r="N18" s="19"/>
      <c r="O18" s="19"/>
      <c r="P18" s="9"/>
      <c r="Q18" s="10"/>
    </row>
    <row r="19" spans="2:19" x14ac:dyDescent="0.25">
      <c r="B19" s="5" t="s">
        <v>35</v>
      </c>
      <c r="C19" s="164" t="s">
        <v>61</v>
      </c>
      <c r="D19" s="165"/>
      <c r="F19" t="s">
        <v>107</v>
      </c>
      <c r="I19" s="30" t="s">
        <v>144</v>
      </c>
      <c r="J19" s="9"/>
      <c r="K19" s="19"/>
      <c r="L19" s="19"/>
      <c r="M19" s="19"/>
      <c r="N19" s="19"/>
      <c r="O19" s="19"/>
      <c r="P19" s="9"/>
      <c r="Q19" s="10"/>
    </row>
    <row r="20" spans="2:19" x14ac:dyDescent="0.25">
      <c r="B20" s="5"/>
      <c r="C20" s="162"/>
      <c r="D20" s="163"/>
      <c r="F20" t="s">
        <v>108</v>
      </c>
      <c r="I20" s="87" t="s">
        <v>145</v>
      </c>
      <c r="J20" s="9"/>
      <c r="K20" s="19"/>
      <c r="L20" s="19"/>
      <c r="M20" s="19"/>
      <c r="N20" s="19"/>
      <c r="O20" s="19"/>
      <c r="P20" s="9"/>
      <c r="Q20" s="10"/>
    </row>
    <row r="21" spans="2:19" x14ac:dyDescent="0.25">
      <c r="B21" s="27" t="s">
        <v>36</v>
      </c>
      <c r="C21" s="160" t="s">
        <v>62</v>
      </c>
      <c r="D21" s="161"/>
      <c r="I21" s="13"/>
      <c r="J21" s="9"/>
      <c r="K21" s="19"/>
      <c r="L21" s="19"/>
      <c r="M21" s="19"/>
      <c r="N21" s="19"/>
      <c r="O21" s="19"/>
      <c r="P21" s="9"/>
      <c r="Q21" s="10"/>
      <c r="S21" s="145" t="s">
        <v>190</v>
      </c>
    </row>
    <row r="22" spans="2:19" x14ac:dyDescent="0.25">
      <c r="I22" s="14" t="s">
        <v>139</v>
      </c>
      <c r="J22" s="9"/>
      <c r="K22" s="19"/>
      <c r="L22" s="19"/>
      <c r="M22" s="19"/>
      <c r="N22" s="19"/>
      <c r="O22" s="19"/>
      <c r="P22" s="9"/>
      <c r="Q22" s="10"/>
      <c r="S22" s="145" t="s">
        <v>191</v>
      </c>
    </row>
    <row r="23" spans="2:19" x14ac:dyDescent="0.25">
      <c r="I23" s="30" t="s">
        <v>140</v>
      </c>
      <c r="J23" s="9"/>
      <c r="K23" s="19"/>
      <c r="L23" s="19"/>
      <c r="M23" s="19"/>
      <c r="N23" s="19"/>
      <c r="O23" s="19"/>
      <c r="P23" s="9"/>
      <c r="Q23" s="10"/>
    </row>
    <row r="24" spans="2:19" x14ac:dyDescent="0.25">
      <c r="B24" s="153" t="s">
        <v>151</v>
      </c>
      <c r="C24" s="154"/>
      <c r="D24" s="155"/>
      <c r="I24" s="13"/>
      <c r="J24" s="9"/>
      <c r="K24" s="19"/>
      <c r="L24" s="19"/>
      <c r="M24" s="19"/>
      <c r="N24" s="19"/>
      <c r="O24" s="19"/>
      <c r="P24" s="9"/>
      <c r="Q24" s="10"/>
    </row>
    <row r="25" spans="2:19" x14ac:dyDescent="0.25">
      <c r="B25" s="106" t="s">
        <v>154</v>
      </c>
      <c r="C25" s="164" t="s">
        <v>156</v>
      </c>
      <c r="D25" s="165"/>
      <c r="I25" s="14" t="s">
        <v>138</v>
      </c>
      <c r="J25" s="9"/>
      <c r="K25" s="19"/>
      <c r="L25" s="19"/>
      <c r="M25" s="19"/>
      <c r="N25" s="19"/>
      <c r="O25" s="19"/>
      <c r="P25" s="9"/>
      <c r="Q25" s="10"/>
    </row>
    <row r="26" spans="2:19" x14ac:dyDescent="0.25">
      <c r="B26" s="106" t="s">
        <v>155</v>
      </c>
      <c r="C26" s="164">
        <v>1997</v>
      </c>
      <c r="D26" s="165"/>
      <c r="I26" s="29" t="s">
        <v>137</v>
      </c>
      <c r="J26" s="9"/>
      <c r="K26" s="19"/>
      <c r="L26" s="19"/>
      <c r="M26" s="19"/>
      <c r="N26" s="19"/>
      <c r="O26" s="19"/>
      <c r="P26" s="9"/>
      <c r="Q26" s="10"/>
    </row>
    <row r="27" spans="2:19" x14ac:dyDescent="0.25">
      <c r="B27" s="106"/>
      <c r="C27" s="95"/>
      <c r="D27" s="96"/>
      <c r="I27" s="13"/>
      <c r="J27" s="9"/>
      <c r="K27" s="19"/>
      <c r="L27" s="19"/>
      <c r="M27" s="19"/>
      <c r="N27" s="19"/>
      <c r="O27" s="19"/>
      <c r="P27" s="9"/>
      <c r="Q27" s="10"/>
    </row>
    <row r="28" spans="2:19" x14ac:dyDescent="0.25">
      <c r="B28" s="106"/>
      <c r="C28" s="95"/>
      <c r="D28" s="96"/>
      <c r="I28" s="14" t="s">
        <v>127</v>
      </c>
      <c r="J28" s="9"/>
      <c r="K28" s="19"/>
      <c r="L28" s="19"/>
      <c r="M28" s="19"/>
      <c r="N28" s="19"/>
      <c r="O28" s="19"/>
      <c r="P28" s="9"/>
      <c r="Q28" s="10"/>
    </row>
    <row r="29" spans="2:19" x14ac:dyDescent="0.25">
      <c r="B29" s="106"/>
      <c r="C29" s="95"/>
      <c r="D29" s="96"/>
      <c r="I29" s="35" t="s">
        <v>128</v>
      </c>
      <c r="J29" s="9"/>
      <c r="K29" s="19"/>
      <c r="L29" s="19"/>
      <c r="M29" s="19"/>
      <c r="N29" s="19"/>
      <c r="O29" s="19"/>
      <c r="P29" s="9"/>
      <c r="Q29" s="10"/>
    </row>
    <row r="30" spans="2:19" x14ac:dyDescent="0.25">
      <c r="B30" s="107" t="s">
        <v>152</v>
      </c>
      <c r="C30" s="168" t="s">
        <v>153</v>
      </c>
      <c r="D30" s="169"/>
      <c r="I30" s="29" t="s">
        <v>130</v>
      </c>
      <c r="J30" s="9"/>
      <c r="K30" s="19"/>
      <c r="L30" s="19"/>
      <c r="M30" s="19"/>
      <c r="N30" s="19"/>
      <c r="O30" s="19"/>
      <c r="P30" s="9"/>
      <c r="Q30" s="10"/>
    </row>
    <row r="31" spans="2:19" x14ac:dyDescent="0.25">
      <c r="I31" s="29" t="s">
        <v>131</v>
      </c>
      <c r="J31" s="9"/>
      <c r="K31" s="19"/>
      <c r="L31" s="19"/>
      <c r="M31" s="19"/>
      <c r="N31" s="19"/>
      <c r="O31" s="19"/>
      <c r="P31" s="9"/>
      <c r="Q31" s="10"/>
    </row>
    <row r="32" spans="2:19" x14ac:dyDescent="0.25">
      <c r="I32" s="13"/>
      <c r="J32" s="9"/>
      <c r="K32" s="19"/>
      <c r="L32" s="19"/>
      <c r="M32" s="19"/>
      <c r="N32" s="19"/>
      <c r="O32" s="19"/>
      <c r="P32" s="9"/>
      <c r="Q32" s="10"/>
    </row>
    <row r="33" spans="2:17" x14ac:dyDescent="0.25">
      <c r="B33" s="153" t="s">
        <v>186</v>
      </c>
      <c r="C33" s="154"/>
      <c r="D33" s="155"/>
      <c r="I33" s="8" t="s">
        <v>10</v>
      </c>
      <c r="J33" s="9"/>
      <c r="K33" s="19"/>
      <c r="L33" s="19"/>
      <c r="M33" s="19"/>
      <c r="N33" s="19"/>
      <c r="O33" s="19"/>
      <c r="P33" s="9"/>
      <c r="Q33" s="10"/>
    </row>
    <row r="34" spans="2:17" x14ac:dyDescent="0.25">
      <c r="B34" s="106" t="s">
        <v>185</v>
      </c>
      <c r="C34" s="158">
        <f>C6/('Financial Model'!K72*Main!D13)</f>
        <v>1.1537905356831271</v>
      </c>
      <c r="D34" s="159"/>
      <c r="I34" s="11" t="s">
        <v>11</v>
      </c>
      <c r="J34" s="9"/>
      <c r="K34" s="19"/>
      <c r="L34" s="19"/>
      <c r="M34" s="19"/>
      <c r="N34" s="19"/>
      <c r="O34" s="19"/>
      <c r="P34" s="9"/>
      <c r="Q34" s="10"/>
    </row>
    <row r="35" spans="2:17" x14ac:dyDescent="0.25">
      <c r="B35" s="106" t="s">
        <v>187</v>
      </c>
      <c r="C35" s="158">
        <f>C6/('Financial Model'!T18*D13)</f>
        <v>4.7776557761578013</v>
      </c>
      <c r="D35" s="159"/>
      <c r="I35" s="12" t="s">
        <v>12</v>
      </c>
      <c r="J35" s="9"/>
      <c r="K35" s="19"/>
      <c r="L35" s="19"/>
      <c r="M35" s="19"/>
      <c r="N35" s="19"/>
      <c r="O35" s="19"/>
      <c r="P35" s="9"/>
      <c r="Q35" s="10"/>
    </row>
    <row r="36" spans="2:17" x14ac:dyDescent="0.25">
      <c r="B36" s="106"/>
      <c r="C36" s="146"/>
      <c r="D36" s="147"/>
      <c r="I36" s="13"/>
      <c r="J36" s="9"/>
      <c r="K36" s="19"/>
      <c r="L36" s="19"/>
      <c r="M36" s="19"/>
      <c r="N36" s="19"/>
      <c r="O36" s="19"/>
      <c r="P36" s="9"/>
      <c r="Q36" s="10"/>
    </row>
    <row r="37" spans="2:17" x14ac:dyDescent="0.25">
      <c r="B37" s="106" t="s">
        <v>185</v>
      </c>
      <c r="C37" s="146"/>
      <c r="D37" s="147"/>
      <c r="I37" s="14" t="s">
        <v>13</v>
      </c>
      <c r="J37" s="9"/>
      <c r="K37" s="19"/>
      <c r="L37" s="19"/>
      <c r="M37" s="19"/>
      <c r="N37" s="19"/>
      <c r="O37" s="19"/>
      <c r="P37" s="9"/>
      <c r="Q37" s="10"/>
    </row>
    <row r="38" spans="2:17" x14ac:dyDescent="0.25">
      <c r="B38" s="106" t="s">
        <v>195</v>
      </c>
      <c r="C38" s="146"/>
      <c r="D38" s="147"/>
      <c r="I38" s="35" t="s">
        <v>63</v>
      </c>
      <c r="J38" s="9"/>
      <c r="K38" s="19"/>
      <c r="L38" s="19"/>
      <c r="M38" s="19"/>
      <c r="N38" s="19"/>
      <c r="O38" s="19"/>
      <c r="P38" s="9"/>
      <c r="Q38" s="10"/>
    </row>
    <row r="39" spans="2:17" x14ac:dyDescent="0.25">
      <c r="B39" s="106" t="s">
        <v>196</v>
      </c>
      <c r="C39" s="146"/>
      <c r="D39" s="147"/>
      <c r="I39" s="29" t="s">
        <v>64</v>
      </c>
      <c r="J39" s="9"/>
      <c r="K39" s="19"/>
      <c r="L39" s="19"/>
      <c r="M39" s="19"/>
      <c r="N39" s="19"/>
      <c r="O39" s="19"/>
      <c r="P39" s="9"/>
      <c r="Q39" s="10"/>
    </row>
    <row r="40" spans="2:17" x14ac:dyDescent="0.25">
      <c r="B40" s="106" t="s">
        <v>187</v>
      </c>
      <c r="C40" s="146"/>
      <c r="D40" s="147"/>
      <c r="I40" s="12"/>
      <c r="J40" s="9"/>
      <c r="K40" s="19"/>
      <c r="L40" s="19"/>
      <c r="M40" s="19"/>
      <c r="N40" s="19"/>
      <c r="O40" s="19"/>
      <c r="P40" s="9"/>
      <c r="Q40" s="10"/>
    </row>
    <row r="41" spans="2:17" x14ac:dyDescent="0.25">
      <c r="B41" s="106" t="s">
        <v>197</v>
      </c>
      <c r="C41" s="146"/>
      <c r="D41" s="147"/>
      <c r="I41" s="14" t="s">
        <v>14</v>
      </c>
      <c r="J41" s="9"/>
      <c r="K41" s="19"/>
      <c r="L41" s="19"/>
      <c r="M41" s="19"/>
      <c r="N41" s="19"/>
      <c r="O41" s="19"/>
      <c r="P41" s="9"/>
      <c r="Q41" s="10"/>
    </row>
    <row r="42" spans="2:17" x14ac:dyDescent="0.25">
      <c r="B42" s="106" t="s">
        <v>198</v>
      </c>
      <c r="C42" s="146"/>
      <c r="D42" s="147"/>
      <c r="I42" s="15" t="s">
        <v>15</v>
      </c>
      <c r="J42" s="9"/>
      <c r="K42" s="19"/>
      <c r="L42" s="19"/>
      <c r="M42" s="19"/>
      <c r="N42" s="19"/>
      <c r="O42" s="19"/>
      <c r="P42" s="9"/>
      <c r="Q42" s="10"/>
    </row>
    <row r="43" spans="2:17" x14ac:dyDescent="0.25">
      <c r="I43" s="12" t="s">
        <v>16</v>
      </c>
      <c r="J43" s="9"/>
      <c r="K43" s="19"/>
      <c r="L43" s="19"/>
      <c r="M43" s="19"/>
      <c r="N43" s="19"/>
      <c r="O43" s="19"/>
      <c r="P43" s="9"/>
      <c r="Q43" s="10"/>
    </row>
    <row r="44" spans="2:17" x14ac:dyDescent="0.25">
      <c r="I44" s="12" t="s">
        <v>17</v>
      </c>
      <c r="J44" s="9"/>
      <c r="K44" s="19"/>
      <c r="L44" s="19"/>
      <c r="M44" s="19"/>
      <c r="N44" s="19"/>
      <c r="O44" s="19"/>
      <c r="P44" s="9"/>
      <c r="Q44" s="10"/>
    </row>
    <row r="45" spans="2:17" x14ac:dyDescent="0.25">
      <c r="I45" s="12"/>
      <c r="J45" s="9"/>
      <c r="K45" s="19"/>
      <c r="L45" s="19"/>
      <c r="M45" s="19"/>
      <c r="N45" s="19"/>
      <c r="O45" s="19"/>
      <c r="P45" s="9"/>
      <c r="Q45" s="10"/>
    </row>
    <row r="46" spans="2:17" x14ac:dyDescent="0.25">
      <c r="I46" s="8" t="s">
        <v>18</v>
      </c>
      <c r="J46" s="9"/>
      <c r="K46" s="19"/>
      <c r="L46" s="19"/>
      <c r="M46" s="19"/>
      <c r="N46" s="19"/>
      <c r="O46" s="19"/>
      <c r="P46" s="9"/>
      <c r="Q46" s="10"/>
    </row>
    <row r="47" spans="2:17" x14ac:dyDescent="0.25">
      <c r="I47" s="16" t="s">
        <v>19</v>
      </c>
      <c r="J47" s="9"/>
      <c r="K47" s="19"/>
      <c r="L47" s="19"/>
      <c r="M47" s="19"/>
      <c r="N47" s="19"/>
      <c r="O47" s="19"/>
      <c r="P47" s="9"/>
      <c r="Q47" s="10"/>
    </row>
    <row r="48" spans="2:17" x14ac:dyDescent="0.25">
      <c r="I48" s="12" t="s">
        <v>20</v>
      </c>
      <c r="J48" s="9"/>
      <c r="K48" s="19"/>
      <c r="L48" s="19"/>
      <c r="M48" s="19"/>
      <c r="N48" s="19"/>
      <c r="O48" s="19"/>
      <c r="P48" s="9"/>
      <c r="Q48" s="10"/>
    </row>
    <row r="49" spans="9:17" x14ac:dyDescent="0.25">
      <c r="I49" s="15" t="s">
        <v>21</v>
      </c>
      <c r="J49" s="9"/>
      <c r="K49" s="19"/>
      <c r="L49" s="19"/>
      <c r="M49" s="19"/>
      <c r="N49" s="19"/>
      <c r="O49" s="19"/>
      <c r="P49" s="9"/>
      <c r="Q49" s="10"/>
    </row>
    <row r="50" spans="9:17" x14ac:dyDescent="0.25">
      <c r="I50" s="13"/>
      <c r="J50" s="9"/>
      <c r="K50" s="19"/>
      <c r="L50" s="19"/>
      <c r="M50" s="19"/>
      <c r="N50" s="19"/>
      <c r="O50" s="19"/>
      <c r="P50" s="9"/>
      <c r="Q50" s="10"/>
    </row>
    <row r="51" spans="9:17" x14ac:dyDescent="0.25">
      <c r="I51" s="17" t="s">
        <v>22</v>
      </c>
      <c r="J51" s="9"/>
      <c r="K51" s="19"/>
      <c r="L51" s="19"/>
      <c r="M51" s="19"/>
      <c r="N51" s="19"/>
      <c r="O51" s="19"/>
      <c r="P51" s="9"/>
      <c r="Q51" s="10"/>
    </row>
    <row r="52" spans="9:17" x14ac:dyDescent="0.25">
      <c r="I52" s="18" t="s">
        <v>23</v>
      </c>
      <c r="J52" s="19"/>
      <c r="K52" s="19"/>
      <c r="L52" s="19"/>
      <c r="M52" s="19"/>
      <c r="N52" s="19"/>
      <c r="O52" s="19"/>
      <c r="P52" s="9"/>
      <c r="Q52" s="10"/>
    </row>
    <row r="53" spans="9:17" x14ac:dyDescent="0.25">
      <c r="I53" s="18" t="s">
        <v>24</v>
      </c>
      <c r="J53" s="19"/>
      <c r="K53" s="19"/>
      <c r="L53" s="19"/>
      <c r="M53" s="19"/>
      <c r="N53" s="19"/>
      <c r="O53" s="19"/>
      <c r="P53" s="9"/>
      <c r="Q53" s="10"/>
    </row>
    <row r="54" spans="9:17" x14ac:dyDescent="0.25">
      <c r="I54" s="20" t="s">
        <v>25</v>
      </c>
      <c r="J54" s="19"/>
      <c r="K54" s="19"/>
      <c r="L54" s="19"/>
      <c r="M54" s="19"/>
      <c r="N54" s="19"/>
      <c r="O54" s="19"/>
      <c r="P54" s="9"/>
      <c r="Q54" s="10"/>
    </row>
    <row r="55" spans="9:17" x14ac:dyDescent="0.25">
      <c r="I55" s="18" t="s">
        <v>26</v>
      </c>
      <c r="J55" s="19"/>
      <c r="K55" s="19"/>
      <c r="L55" s="19"/>
      <c r="M55" s="19"/>
      <c r="N55" s="19"/>
      <c r="O55" s="19"/>
      <c r="P55" s="9"/>
      <c r="Q55" s="10"/>
    </row>
    <row r="56" spans="9:17" x14ac:dyDescent="0.25">
      <c r="I56" s="20"/>
      <c r="J56" s="19"/>
      <c r="K56" s="19"/>
      <c r="L56" s="19"/>
      <c r="M56" s="19"/>
      <c r="N56" s="19"/>
      <c r="O56" s="19"/>
      <c r="P56" s="9"/>
      <c r="Q56" s="10"/>
    </row>
    <row r="57" spans="9:17" x14ac:dyDescent="0.25">
      <c r="I57" s="21" t="s">
        <v>27</v>
      </c>
      <c r="J57" s="19"/>
      <c r="K57" s="19"/>
      <c r="L57" s="19"/>
      <c r="M57" s="19"/>
      <c r="N57" s="19"/>
      <c r="O57" s="19"/>
      <c r="P57" s="9"/>
      <c r="Q57" s="10"/>
    </row>
    <row r="58" spans="9:17" x14ac:dyDescent="0.25">
      <c r="I58" s="28" t="s">
        <v>38</v>
      </c>
      <c r="J58" s="19"/>
      <c r="K58" s="19"/>
      <c r="L58" s="19"/>
      <c r="M58" s="19"/>
      <c r="N58" s="19"/>
      <c r="O58" s="19"/>
      <c r="P58" s="9"/>
      <c r="Q58" s="10"/>
    </row>
    <row r="59" spans="9:17" x14ac:dyDescent="0.25">
      <c r="I59" s="30" t="s">
        <v>39</v>
      </c>
      <c r="J59" s="19"/>
      <c r="K59" s="19"/>
      <c r="L59" s="19"/>
      <c r="M59" s="19"/>
      <c r="N59" s="19"/>
      <c r="O59" s="19"/>
      <c r="P59" s="9"/>
      <c r="Q59" s="10"/>
    </row>
    <row r="60" spans="9:17" x14ac:dyDescent="0.25">
      <c r="I60" s="18"/>
      <c r="J60" s="19"/>
      <c r="K60" s="19"/>
      <c r="L60" s="19"/>
      <c r="M60" s="19"/>
      <c r="N60" s="19"/>
      <c r="O60" s="19"/>
      <c r="P60" s="9"/>
      <c r="Q60" s="10"/>
    </row>
    <row r="61" spans="9:17" x14ac:dyDescent="0.25">
      <c r="I61" s="21" t="s">
        <v>28</v>
      </c>
      <c r="J61" s="19"/>
      <c r="K61" s="19"/>
      <c r="L61" s="19"/>
      <c r="M61" s="19"/>
      <c r="N61" s="19"/>
      <c r="O61" s="19"/>
      <c r="P61" s="9"/>
      <c r="Q61" s="10"/>
    </row>
    <row r="62" spans="9:17" x14ac:dyDescent="0.25">
      <c r="I62" s="28" t="s">
        <v>37</v>
      </c>
      <c r="J62" s="19"/>
      <c r="K62" s="19"/>
      <c r="L62" s="19"/>
      <c r="M62" s="19"/>
      <c r="N62" s="19"/>
      <c r="O62" s="19"/>
      <c r="P62" s="9"/>
      <c r="Q62" s="10"/>
    </row>
    <row r="63" spans="9:17" x14ac:dyDescent="0.25">
      <c r="I63" s="18"/>
      <c r="J63" s="9"/>
      <c r="K63" s="19"/>
      <c r="L63" s="19"/>
      <c r="M63" s="19"/>
      <c r="N63" s="19"/>
      <c r="O63" s="19"/>
      <c r="P63" s="9"/>
      <c r="Q63" s="10"/>
    </row>
    <row r="64" spans="9:17" x14ac:dyDescent="0.25">
      <c r="I64" s="21" t="s">
        <v>29</v>
      </c>
      <c r="J64" s="9"/>
      <c r="K64" s="19"/>
      <c r="L64" s="19"/>
      <c r="M64" s="19"/>
      <c r="N64" s="19"/>
      <c r="O64" s="19"/>
      <c r="P64" s="9"/>
      <c r="Q64" s="10"/>
    </row>
    <row r="65" spans="9:17" x14ac:dyDescent="0.25">
      <c r="I65" s="18" t="s">
        <v>30</v>
      </c>
      <c r="J65" s="9"/>
      <c r="K65" s="19"/>
      <c r="L65" s="19"/>
      <c r="M65" s="19"/>
      <c r="N65" s="19"/>
      <c r="O65" s="19"/>
      <c r="P65" s="9"/>
      <c r="Q65" s="10"/>
    </row>
    <row r="66" spans="9:17" x14ac:dyDescent="0.25">
      <c r="I66" s="18"/>
      <c r="J66" s="9"/>
      <c r="K66" s="19"/>
      <c r="L66" s="19"/>
      <c r="M66" s="19"/>
      <c r="N66" s="19"/>
      <c r="O66" s="19"/>
      <c r="P66" s="9"/>
      <c r="Q66" s="10"/>
    </row>
    <row r="67" spans="9:17" x14ac:dyDescent="0.25">
      <c r="I67" s="21" t="s">
        <v>31</v>
      </c>
      <c r="J67" s="9"/>
      <c r="K67" s="19"/>
      <c r="L67" s="19"/>
      <c r="M67" s="19"/>
      <c r="N67" s="19"/>
      <c r="O67" s="19"/>
      <c r="P67" s="9"/>
      <c r="Q67" s="10"/>
    </row>
    <row r="68" spans="9:17" x14ac:dyDescent="0.25">
      <c r="I68" s="22" t="s">
        <v>32</v>
      </c>
      <c r="J68" s="23"/>
      <c r="K68" s="26"/>
      <c r="L68" s="26"/>
      <c r="M68" s="26"/>
      <c r="N68" s="26"/>
      <c r="O68" s="26"/>
      <c r="P68" s="23"/>
      <c r="Q68" s="24"/>
    </row>
  </sheetData>
  <mergeCells count="16">
    <mergeCell ref="I5:Q5"/>
    <mergeCell ref="B5:D5"/>
    <mergeCell ref="B16:D16"/>
    <mergeCell ref="B13:C13"/>
    <mergeCell ref="C35:D35"/>
    <mergeCell ref="C21:D21"/>
    <mergeCell ref="C20:D20"/>
    <mergeCell ref="C19:D19"/>
    <mergeCell ref="C18:D18"/>
    <mergeCell ref="C17:D17"/>
    <mergeCell ref="B33:D33"/>
    <mergeCell ref="C34:D34"/>
    <mergeCell ref="B24:D24"/>
    <mergeCell ref="C25:D25"/>
    <mergeCell ref="C30:D30"/>
    <mergeCell ref="C26:D26"/>
  </mergeCells>
  <hyperlinks>
    <hyperlink ref="I16" r:id="rId1" display="UK Government 2022 Legislation" xr:uid="{C1D3F6CD-A120-4B44-833C-73430C0A8313}"/>
    <hyperlink ref="I13" r:id="rId2" xr:uid="{C680B2B4-B716-DE4A-8BF1-0F084F783051}"/>
    <hyperlink ref="C30:D30" r:id="rId3" location="results-reports-presentations" display="Link" xr:uid="{F059621B-F373-4C60-B0C8-A80A3B8384D6}"/>
    <hyperlink ref="I10" r:id="rId4" xr:uid="{0E5B6056-A23B-4531-AD44-5A14FE0C9AFF}"/>
    <hyperlink ref="I7" r:id="rId5" display="888 shares fall 30% as CEO quits following suspension of Middle East VIP service" xr:uid="{C60967F6-59D8-4026-8FC5-7B67BB9C7214}"/>
  </hyperlinks>
  <pageMargins left="0.7" right="0.7" top="0.75" bottom="0.75" header="0.3" footer="0.3"/>
  <pageSetup paperSize="256" orientation="portrait" horizontalDpi="203" verticalDpi="203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63C3-2D1D-47D3-AA96-4A12957418DF}">
  <dimension ref="B1:CH8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ColWidth="8.85546875" defaultRowHeight="15" x14ac:dyDescent="0.25"/>
  <cols>
    <col min="1" max="1" width="3.140625" customWidth="1"/>
    <col min="2" max="2" width="24.42578125" bestFit="1" customWidth="1"/>
    <col min="3" max="5" width="9.7109375" customWidth="1"/>
    <col min="6" max="6" width="9.140625" customWidth="1"/>
    <col min="7" max="11" width="9.28515625" bestFit="1" customWidth="1"/>
    <col min="12" max="12" width="8.85546875" style="92"/>
    <col min="17" max="20" width="9.28515625" bestFit="1" customWidth="1"/>
    <col min="21" max="21" width="8.85546875" style="102"/>
    <col min="37" max="37" width="18.28515625" bestFit="1" customWidth="1"/>
  </cols>
  <sheetData>
    <row r="1" spans="2:34" x14ac:dyDescent="0.25">
      <c r="B1" s="38" t="s">
        <v>75</v>
      </c>
      <c r="C1" s="31" t="s">
        <v>113</v>
      </c>
      <c r="D1" s="34" t="s">
        <v>112</v>
      </c>
      <c r="E1" s="31" t="s">
        <v>40</v>
      </c>
      <c r="F1" s="34" t="s">
        <v>41</v>
      </c>
      <c r="G1" s="31" t="s">
        <v>42</v>
      </c>
      <c r="H1" s="34" t="s">
        <v>43</v>
      </c>
      <c r="I1" s="31" t="s">
        <v>44</v>
      </c>
      <c r="J1" s="34" t="s">
        <v>45</v>
      </c>
      <c r="K1" s="31" t="s">
        <v>136</v>
      </c>
      <c r="L1" s="34" t="s">
        <v>147</v>
      </c>
      <c r="O1" s="124" t="s">
        <v>136</v>
      </c>
      <c r="Q1" s="31" t="s">
        <v>109</v>
      </c>
      <c r="R1" s="31" t="s">
        <v>46</v>
      </c>
      <c r="S1" s="31" t="s">
        <v>47</v>
      </c>
      <c r="T1" s="31" t="s">
        <v>48</v>
      </c>
      <c r="U1" s="97" t="s">
        <v>49</v>
      </c>
      <c r="V1" s="31" t="s">
        <v>50</v>
      </c>
      <c r="W1" s="31" t="s">
        <v>51</v>
      </c>
      <c r="X1" s="31" t="s">
        <v>52</v>
      </c>
      <c r="Y1" s="31" t="s">
        <v>53</v>
      </c>
      <c r="Z1" s="31" t="s">
        <v>54</v>
      </c>
      <c r="AA1" s="31" t="s">
        <v>55</v>
      </c>
      <c r="AB1" s="31" t="s">
        <v>56</v>
      </c>
      <c r="AC1" s="31" t="s">
        <v>57</v>
      </c>
      <c r="AD1" s="31" t="s">
        <v>115</v>
      </c>
      <c r="AE1" s="31" t="s">
        <v>116</v>
      </c>
      <c r="AF1" s="31" t="s">
        <v>117</v>
      </c>
      <c r="AG1" s="31" t="s">
        <v>118</v>
      </c>
      <c r="AH1" s="31" t="s">
        <v>119</v>
      </c>
    </row>
    <row r="2" spans="2:34" x14ac:dyDescent="0.25">
      <c r="C2" s="50">
        <v>43281</v>
      </c>
      <c r="D2" s="53">
        <v>43465</v>
      </c>
      <c r="E2" s="50">
        <v>43646</v>
      </c>
      <c r="F2" s="53">
        <v>43830</v>
      </c>
      <c r="G2" s="50">
        <v>44012</v>
      </c>
      <c r="H2" s="53">
        <v>44196</v>
      </c>
      <c r="I2" s="50">
        <v>44377</v>
      </c>
      <c r="J2" s="53">
        <v>44561</v>
      </c>
      <c r="K2" s="122">
        <v>44742</v>
      </c>
      <c r="L2" s="88" t="s">
        <v>114</v>
      </c>
      <c r="M2" s="58"/>
      <c r="N2" s="58"/>
      <c r="O2" s="125" t="s">
        <v>114</v>
      </c>
      <c r="P2" s="58"/>
      <c r="Q2" s="50">
        <v>43465</v>
      </c>
      <c r="R2" s="40">
        <v>43830</v>
      </c>
      <c r="S2" s="40">
        <v>44196</v>
      </c>
      <c r="T2" s="40">
        <v>44561</v>
      </c>
      <c r="U2" s="98" t="s">
        <v>114</v>
      </c>
      <c r="V2" s="57" t="s">
        <v>114</v>
      </c>
      <c r="W2" s="57" t="s">
        <v>114</v>
      </c>
      <c r="X2" s="57" t="s">
        <v>114</v>
      </c>
      <c r="Y2" s="57" t="s">
        <v>114</v>
      </c>
      <c r="Z2" s="57" t="s">
        <v>114</v>
      </c>
      <c r="AA2" s="57" t="s">
        <v>114</v>
      </c>
      <c r="AB2" s="57" t="s">
        <v>114</v>
      </c>
      <c r="AC2" s="57" t="s">
        <v>114</v>
      </c>
      <c r="AD2" s="57" t="s">
        <v>114</v>
      </c>
      <c r="AE2" s="57" t="s">
        <v>114</v>
      </c>
      <c r="AF2" s="57" t="s">
        <v>114</v>
      </c>
      <c r="AG2" s="57" t="s">
        <v>114</v>
      </c>
      <c r="AH2" s="57" t="s">
        <v>114</v>
      </c>
    </row>
    <row r="3" spans="2:34" x14ac:dyDescent="0.25">
      <c r="B3" s="25" t="s">
        <v>58</v>
      </c>
      <c r="C3" s="46">
        <v>283.89999999999998</v>
      </c>
      <c r="D3" s="33">
        <f>Q3-C3</f>
        <v>256.70000000000005</v>
      </c>
      <c r="E3" s="46">
        <v>277.3</v>
      </c>
      <c r="F3" s="33">
        <f>R3-E3</f>
        <v>282.99999999999994</v>
      </c>
      <c r="G3" s="46">
        <v>379.1</v>
      </c>
      <c r="H3" s="33">
        <f>S3-G3</f>
        <v>470.6</v>
      </c>
      <c r="I3" s="46">
        <v>528.4</v>
      </c>
      <c r="J3" s="33">
        <f>T3-I3</f>
        <v>451.70000000000005</v>
      </c>
      <c r="K3" s="25">
        <v>332.1</v>
      </c>
      <c r="L3" s="90">
        <f>U3-K3</f>
        <v>765.61200000000019</v>
      </c>
      <c r="O3" s="126">
        <v>505.90400000000011</v>
      </c>
      <c r="Q3" s="46">
        <f>529.9+10.7</f>
        <v>540.6</v>
      </c>
      <c r="R3" s="25">
        <v>560.29999999999995</v>
      </c>
      <c r="S3" s="25">
        <v>849.7</v>
      </c>
      <c r="T3" s="25">
        <v>980.1</v>
      </c>
      <c r="U3" s="99">
        <f>T3*1.12</f>
        <v>1097.7120000000002</v>
      </c>
      <c r="V3" s="61">
        <f t="shared" ref="V3:W3" si="0">U3*1.12</f>
        <v>1229.4374400000004</v>
      </c>
      <c r="W3" s="61">
        <f t="shared" si="0"/>
        <v>1376.9699328000006</v>
      </c>
      <c r="X3" s="61">
        <f>W3*1.05</f>
        <v>1445.8184294400007</v>
      </c>
      <c r="Y3" s="61">
        <f t="shared" ref="Y3:AH3" si="1">X3*1.05</f>
        <v>1518.1093509120008</v>
      </c>
      <c r="Z3" s="61">
        <f t="shared" si="1"/>
        <v>1594.0148184576008</v>
      </c>
      <c r="AA3" s="61">
        <f t="shared" si="1"/>
        <v>1673.715559380481</v>
      </c>
      <c r="AB3" s="61">
        <f t="shared" si="1"/>
        <v>1757.4013373495052</v>
      </c>
      <c r="AC3" s="61">
        <f t="shared" si="1"/>
        <v>1845.2714042169805</v>
      </c>
      <c r="AD3" s="61">
        <f t="shared" si="1"/>
        <v>1937.5349744278296</v>
      </c>
      <c r="AE3" s="61">
        <f t="shared" si="1"/>
        <v>2034.4117231492212</v>
      </c>
      <c r="AF3" s="61">
        <f t="shared" si="1"/>
        <v>2136.1323093066821</v>
      </c>
      <c r="AG3" s="61">
        <f t="shared" si="1"/>
        <v>2242.9389247720164</v>
      </c>
      <c r="AH3" s="61">
        <f t="shared" si="1"/>
        <v>2355.0858710106172</v>
      </c>
    </row>
    <row r="4" spans="2:34" x14ac:dyDescent="0.25">
      <c r="B4" t="s">
        <v>71</v>
      </c>
      <c r="C4" s="47">
        <v>37.799999999999997</v>
      </c>
      <c r="D4" s="32">
        <f>Q4-C4</f>
        <v>32.100000000000009</v>
      </c>
      <c r="E4" s="47">
        <v>44.9</v>
      </c>
      <c r="F4" s="37">
        <f>R4-E4</f>
        <v>50.6</v>
      </c>
      <c r="G4" s="47">
        <v>69.599999999999994</v>
      </c>
      <c r="H4" s="32">
        <f>S4-G4</f>
        <v>82.200000000000017</v>
      </c>
      <c r="I4" s="47">
        <v>100.5</v>
      </c>
      <c r="J4" s="32">
        <f>T4-I4</f>
        <v>83.5</v>
      </c>
      <c r="K4">
        <v>62.3</v>
      </c>
      <c r="L4" s="89">
        <f>U4-K4</f>
        <v>143.78000000000003</v>
      </c>
      <c r="O4" s="127">
        <v>93.52000000000001</v>
      </c>
      <c r="Q4" s="47">
        <v>69.900000000000006</v>
      </c>
      <c r="R4">
        <v>95.5</v>
      </c>
      <c r="S4">
        <v>151.80000000000001</v>
      </c>
      <c r="T4">
        <v>184</v>
      </c>
      <c r="U4" s="100">
        <f>T4*1.12</f>
        <v>206.08</v>
      </c>
      <c r="V4" s="62">
        <f t="shared" ref="V4:W4" si="2">U4*1.12</f>
        <v>230.80960000000005</v>
      </c>
      <c r="W4" s="62">
        <f t="shared" si="2"/>
        <v>258.50675200000006</v>
      </c>
      <c r="X4" s="62">
        <f>W4*1.05</f>
        <v>271.4320896000001</v>
      </c>
      <c r="Y4" s="62">
        <f t="shared" ref="Y4:AH4" si="3">X4*1.05</f>
        <v>285.00369408000012</v>
      </c>
      <c r="Z4" s="62">
        <f t="shared" si="3"/>
        <v>299.25387878400011</v>
      </c>
      <c r="AA4" s="62">
        <f t="shared" si="3"/>
        <v>314.2165727232001</v>
      </c>
      <c r="AB4" s="62">
        <f t="shared" si="3"/>
        <v>329.92740135936015</v>
      </c>
      <c r="AC4" s="62">
        <f t="shared" si="3"/>
        <v>346.42377142732818</v>
      </c>
      <c r="AD4" s="62">
        <f t="shared" si="3"/>
        <v>363.74495999869458</v>
      </c>
      <c r="AE4" s="62">
        <f t="shared" si="3"/>
        <v>381.93220799862934</v>
      </c>
      <c r="AF4" s="62">
        <f t="shared" si="3"/>
        <v>401.02881839856082</v>
      </c>
      <c r="AG4" s="62">
        <f t="shared" si="3"/>
        <v>421.08025931848886</v>
      </c>
      <c r="AH4" s="62">
        <f t="shared" si="3"/>
        <v>442.13427228441333</v>
      </c>
    </row>
    <row r="5" spans="2:34" x14ac:dyDescent="0.25">
      <c r="B5" t="s">
        <v>72</v>
      </c>
      <c r="C5" s="47">
        <f>16.6+18.3</f>
        <v>34.900000000000006</v>
      </c>
      <c r="D5" s="32">
        <f>Q5-C5</f>
        <v>34.099999999999994</v>
      </c>
      <c r="E5" s="47">
        <f>17.3+19.4</f>
        <v>36.700000000000003</v>
      </c>
      <c r="F5" s="37">
        <f>R5-E5</f>
        <v>35.899999999999991</v>
      </c>
      <c r="G5" s="47">
        <v>58.6</v>
      </c>
      <c r="H5" s="32">
        <f>S5-G5</f>
        <v>76.5</v>
      </c>
      <c r="I5" s="47">
        <v>75.5</v>
      </c>
      <c r="J5" s="32">
        <f>T5-I5</f>
        <v>82.9</v>
      </c>
      <c r="K5">
        <v>58.2</v>
      </c>
      <c r="L5" s="89">
        <f>U5-K5</f>
        <v>119.20800000000001</v>
      </c>
      <c r="O5" s="127">
        <v>92.848000000000013</v>
      </c>
      <c r="Q5" s="47">
        <f>32.8+36.2</f>
        <v>69</v>
      </c>
      <c r="R5">
        <f>33.6+39</f>
        <v>72.599999999999994</v>
      </c>
      <c r="S5">
        <v>135.1</v>
      </c>
      <c r="T5">
        <v>158.4</v>
      </c>
      <c r="U5" s="100">
        <f>T5*1.12</f>
        <v>177.40800000000002</v>
      </c>
      <c r="V5" s="62">
        <f t="shared" ref="V5:W5" si="4">U5*1.12</f>
        <v>198.69696000000005</v>
      </c>
      <c r="W5" s="62">
        <f t="shared" si="4"/>
        <v>222.54059520000007</v>
      </c>
      <c r="X5" s="62">
        <f>W5*1.05</f>
        <v>233.66762496000007</v>
      </c>
      <c r="Y5" s="62">
        <f t="shared" ref="Y5:AH5" si="5">X5*1.05</f>
        <v>245.35100620800009</v>
      </c>
      <c r="Z5" s="62">
        <f t="shared" si="5"/>
        <v>257.61855651840011</v>
      </c>
      <c r="AA5" s="62">
        <f t="shared" si="5"/>
        <v>270.49948434432014</v>
      </c>
      <c r="AB5" s="62">
        <f t="shared" si="5"/>
        <v>284.02445856153616</v>
      </c>
      <c r="AC5" s="62">
        <f t="shared" si="5"/>
        <v>298.22568148961301</v>
      </c>
      <c r="AD5" s="62">
        <f t="shared" si="5"/>
        <v>313.13696556409366</v>
      </c>
      <c r="AE5" s="62">
        <f t="shared" si="5"/>
        <v>328.79381384229833</v>
      </c>
      <c r="AF5" s="62">
        <f t="shared" si="5"/>
        <v>345.23350453441327</v>
      </c>
      <c r="AG5" s="62">
        <f t="shared" si="5"/>
        <v>362.49517976113395</v>
      </c>
      <c r="AH5" s="62">
        <f t="shared" si="5"/>
        <v>380.61993874919068</v>
      </c>
    </row>
    <row r="6" spans="2:34" x14ac:dyDescent="0.25">
      <c r="B6" s="36" t="s">
        <v>73</v>
      </c>
      <c r="C6" s="47">
        <f t="shared" ref="C6:J6" si="6">C4+C5</f>
        <v>72.7</v>
      </c>
      <c r="D6" s="32">
        <f t="shared" si="6"/>
        <v>66.2</v>
      </c>
      <c r="E6" s="47">
        <f t="shared" si="6"/>
        <v>81.599999999999994</v>
      </c>
      <c r="F6" s="32">
        <f t="shared" si="6"/>
        <v>86.5</v>
      </c>
      <c r="G6" s="47">
        <f t="shared" si="6"/>
        <v>128.19999999999999</v>
      </c>
      <c r="H6" s="32">
        <f t="shared" si="6"/>
        <v>158.70000000000002</v>
      </c>
      <c r="I6" s="47">
        <f t="shared" si="6"/>
        <v>176</v>
      </c>
      <c r="J6" s="32">
        <f t="shared" si="6"/>
        <v>166.4</v>
      </c>
      <c r="K6" s="47">
        <f>K4+K5</f>
        <v>120.5</v>
      </c>
      <c r="L6" s="89">
        <f>U6-K6</f>
        <v>262.98800000000006</v>
      </c>
      <c r="O6" s="128">
        <v>186.36800000000002</v>
      </c>
      <c r="Q6" s="47">
        <f>Q4+Q5</f>
        <v>138.9</v>
      </c>
      <c r="R6">
        <f>R4+R5</f>
        <v>168.1</v>
      </c>
      <c r="S6">
        <f>S4+S5</f>
        <v>286.89999999999998</v>
      </c>
      <c r="T6">
        <f>T4+T5</f>
        <v>342.4</v>
      </c>
      <c r="U6" s="101">
        <f>U4+U5</f>
        <v>383.48800000000006</v>
      </c>
      <c r="V6" s="63">
        <f t="shared" ref="V6:X6" si="7">V4+V5</f>
        <v>429.50656000000009</v>
      </c>
      <c r="W6" s="63">
        <f t="shared" si="7"/>
        <v>481.0473472000001</v>
      </c>
      <c r="X6" s="63">
        <f t="shared" si="7"/>
        <v>505.09971456000017</v>
      </c>
      <c r="Y6" s="63">
        <f t="shared" ref="Y6:AH6" si="8">Y4+Y5</f>
        <v>530.35470028800023</v>
      </c>
      <c r="Z6" s="63">
        <f t="shared" si="8"/>
        <v>556.87243530240016</v>
      </c>
      <c r="AA6" s="63">
        <f t="shared" si="8"/>
        <v>584.7160570675203</v>
      </c>
      <c r="AB6" s="63">
        <f t="shared" si="8"/>
        <v>613.95185992089637</v>
      </c>
      <c r="AC6" s="63">
        <f t="shared" si="8"/>
        <v>644.64945291694119</v>
      </c>
      <c r="AD6" s="63">
        <f t="shared" si="8"/>
        <v>676.88192556278818</v>
      </c>
      <c r="AE6" s="63">
        <f t="shared" si="8"/>
        <v>710.72602184092761</v>
      </c>
      <c r="AF6" s="63">
        <f t="shared" si="8"/>
        <v>746.26232293297403</v>
      </c>
      <c r="AG6" s="63">
        <f t="shared" si="8"/>
        <v>783.57543907962281</v>
      </c>
      <c r="AH6" s="63">
        <f t="shared" si="8"/>
        <v>822.75421103360395</v>
      </c>
    </row>
    <row r="7" spans="2:34" x14ac:dyDescent="0.25">
      <c r="B7" s="25" t="s">
        <v>74</v>
      </c>
      <c r="C7" s="46">
        <f t="shared" ref="C7:J7" si="9">C3-C6</f>
        <v>211.2</v>
      </c>
      <c r="D7" s="33">
        <f t="shared" si="9"/>
        <v>190.50000000000006</v>
      </c>
      <c r="E7" s="46">
        <f t="shared" si="9"/>
        <v>195.70000000000002</v>
      </c>
      <c r="F7" s="33">
        <f t="shared" si="9"/>
        <v>196.49999999999994</v>
      </c>
      <c r="G7" s="46">
        <f t="shared" si="9"/>
        <v>250.90000000000003</v>
      </c>
      <c r="H7" s="33">
        <f t="shared" si="9"/>
        <v>311.89999999999998</v>
      </c>
      <c r="I7" s="46">
        <f t="shared" si="9"/>
        <v>352.4</v>
      </c>
      <c r="J7" s="33">
        <f t="shared" si="9"/>
        <v>285.30000000000007</v>
      </c>
      <c r="K7" s="46">
        <f>K3-K6</f>
        <v>211.60000000000002</v>
      </c>
      <c r="L7" s="90">
        <f>L3-L6</f>
        <v>502.62400000000014</v>
      </c>
      <c r="O7" s="126">
        <v>319.53600000000006</v>
      </c>
      <c r="Q7" s="46">
        <f>Q3-Q6</f>
        <v>401.70000000000005</v>
      </c>
      <c r="R7" s="25">
        <f>R3-R6</f>
        <v>392.19999999999993</v>
      </c>
      <c r="S7" s="25">
        <f>S3-S6</f>
        <v>562.80000000000007</v>
      </c>
      <c r="T7" s="25">
        <f>T3-T6</f>
        <v>637.70000000000005</v>
      </c>
      <c r="U7" s="99">
        <f>U3-U6</f>
        <v>714.22400000000016</v>
      </c>
      <c r="V7" s="61">
        <f t="shared" ref="V7:X7" si="10">V3-V6</f>
        <v>799.93088000000034</v>
      </c>
      <c r="W7" s="61">
        <f t="shared" si="10"/>
        <v>895.9225856000005</v>
      </c>
      <c r="X7" s="61">
        <f t="shared" si="10"/>
        <v>940.71871488000056</v>
      </c>
      <c r="Y7" s="61">
        <f t="shared" ref="Y7:AH7" si="11">Y3-Y6</f>
        <v>987.75465062400053</v>
      </c>
      <c r="Z7" s="61">
        <f t="shared" si="11"/>
        <v>1037.1423831552006</v>
      </c>
      <c r="AA7" s="61">
        <f t="shared" si="11"/>
        <v>1088.9995023129607</v>
      </c>
      <c r="AB7" s="61">
        <f t="shared" si="11"/>
        <v>1143.4494774286088</v>
      </c>
      <c r="AC7" s="61">
        <f t="shared" si="11"/>
        <v>1200.6219513000392</v>
      </c>
      <c r="AD7" s="61">
        <f t="shared" si="11"/>
        <v>1260.6530488650415</v>
      </c>
      <c r="AE7" s="61">
        <f t="shared" si="11"/>
        <v>1323.6857013082936</v>
      </c>
      <c r="AF7" s="61">
        <f t="shared" si="11"/>
        <v>1389.8699863737081</v>
      </c>
      <c r="AG7" s="61">
        <f t="shared" si="11"/>
        <v>1459.3634856923936</v>
      </c>
      <c r="AH7" s="61">
        <f t="shared" si="11"/>
        <v>1532.3316599770133</v>
      </c>
    </row>
    <row r="8" spans="2:34" x14ac:dyDescent="0.25">
      <c r="B8" s="36" t="s">
        <v>76</v>
      </c>
      <c r="C8" s="47">
        <v>82.7</v>
      </c>
      <c r="D8" s="32">
        <f>Q8-C8</f>
        <v>72.3</v>
      </c>
      <c r="E8" s="47">
        <v>84.3</v>
      </c>
      <c r="F8" s="32">
        <f>R8-E8</f>
        <v>77.500000000000014</v>
      </c>
      <c r="G8" s="47">
        <v>100.1</v>
      </c>
      <c r="H8" s="32">
        <f>S8-G8</f>
        <v>137</v>
      </c>
      <c r="I8" s="47">
        <v>170.9</v>
      </c>
      <c r="J8" s="32">
        <f>T8-I8</f>
        <v>135.6</v>
      </c>
      <c r="K8">
        <v>103.9</v>
      </c>
      <c r="L8" s="89">
        <f>U8-K8</f>
        <v>227.12000000000003</v>
      </c>
      <c r="O8" s="128">
        <v>146.44800000000001</v>
      </c>
      <c r="Q8" s="47">
        <v>155</v>
      </c>
      <c r="R8">
        <v>161.80000000000001</v>
      </c>
      <c r="S8">
        <v>237.1</v>
      </c>
      <c r="T8">
        <v>306.5</v>
      </c>
      <c r="U8" s="101">
        <f>T8*1.08</f>
        <v>331.02000000000004</v>
      </c>
      <c r="V8" s="63">
        <f t="shared" ref="V8:W8" si="12">U8*1.08</f>
        <v>357.50160000000005</v>
      </c>
      <c r="W8" s="63">
        <f t="shared" si="12"/>
        <v>386.10172800000009</v>
      </c>
      <c r="X8" s="63">
        <f>W8*1.04</f>
        <v>401.54579712000009</v>
      </c>
      <c r="Y8" s="63">
        <f t="shared" ref="Y8:AH8" si="13">X8*1.04</f>
        <v>417.60762900480012</v>
      </c>
      <c r="Z8" s="63">
        <f t="shared" si="13"/>
        <v>434.31193416499212</v>
      </c>
      <c r="AA8" s="63">
        <f t="shared" si="13"/>
        <v>451.68441153159182</v>
      </c>
      <c r="AB8" s="63">
        <f t="shared" si="13"/>
        <v>469.7517879928555</v>
      </c>
      <c r="AC8" s="63">
        <f t="shared" si="13"/>
        <v>488.54185951256972</v>
      </c>
      <c r="AD8" s="63">
        <f t="shared" si="13"/>
        <v>508.08353389307251</v>
      </c>
      <c r="AE8" s="63">
        <f t="shared" si="13"/>
        <v>528.40687524879547</v>
      </c>
      <c r="AF8" s="63">
        <f t="shared" si="13"/>
        <v>549.54315025874735</v>
      </c>
      <c r="AG8" s="63">
        <f t="shared" si="13"/>
        <v>571.52487626909726</v>
      </c>
      <c r="AH8" s="63">
        <f t="shared" si="13"/>
        <v>594.38587131986117</v>
      </c>
    </row>
    <row r="9" spans="2:34" x14ac:dyDescent="0.25">
      <c r="B9" s="36" t="s">
        <v>77</v>
      </c>
      <c r="C9" s="47">
        <v>80.5</v>
      </c>
      <c r="D9" s="32">
        <f>Q9-C9</f>
        <v>77.599999999999994</v>
      </c>
      <c r="E9" s="47">
        <v>85.1</v>
      </c>
      <c r="F9" s="32">
        <f>R9-E9</f>
        <v>90.800000000000011</v>
      </c>
      <c r="G9" s="47">
        <v>99.7</v>
      </c>
      <c r="H9" s="32">
        <f>S9-G9</f>
        <v>114.99999999999999</v>
      </c>
      <c r="I9" s="47">
        <v>107.9</v>
      </c>
      <c r="J9" s="32">
        <f>T9-I9</f>
        <v>112.29999999999998</v>
      </c>
      <c r="K9">
        <v>76.2</v>
      </c>
      <c r="L9" s="89">
        <f>U9-K9</f>
        <v>161.61599999999999</v>
      </c>
      <c r="O9" s="128">
        <v>121.28399999999999</v>
      </c>
      <c r="Q9" s="47">
        <v>158.1</v>
      </c>
      <c r="R9">
        <v>175.9</v>
      </c>
      <c r="S9">
        <v>214.7</v>
      </c>
      <c r="T9">
        <v>220.2</v>
      </c>
      <c r="U9" s="101">
        <f>T9*1.08</f>
        <v>237.816</v>
      </c>
      <c r="V9" s="63">
        <f t="shared" ref="V9:W9" si="14">U9*1.08</f>
        <v>256.84128000000004</v>
      </c>
      <c r="W9" s="63">
        <f t="shared" si="14"/>
        <v>277.38858240000008</v>
      </c>
      <c r="X9" s="63">
        <f>W9*1.04</f>
        <v>288.48412569600009</v>
      </c>
      <c r="Y9" s="63">
        <f t="shared" ref="Y9:AH9" si="15">X9*1.04</f>
        <v>300.0234907238401</v>
      </c>
      <c r="Z9" s="63">
        <f t="shared" si="15"/>
        <v>312.02443035279373</v>
      </c>
      <c r="AA9" s="63">
        <f t="shared" si="15"/>
        <v>324.50540756690549</v>
      </c>
      <c r="AB9" s="63">
        <f t="shared" si="15"/>
        <v>337.48562386958173</v>
      </c>
      <c r="AC9" s="63">
        <f t="shared" si="15"/>
        <v>350.98504882436504</v>
      </c>
      <c r="AD9" s="63">
        <f t="shared" si="15"/>
        <v>365.02445077733967</v>
      </c>
      <c r="AE9" s="63">
        <f t="shared" si="15"/>
        <v>379.62542880843324</v>
      </c>
      <c r="AF9" s="63">
        <f t="shared" si="15"/>
        <v>394.81044596077061</v>
      </c>
      <c r="AG9" s="63">
        <f t="shared" si="15"/>
        <v>410.60286379920143</v>
      </c>
      <c r="AH9" s="63">
        <f t="shared" si="15"/>
        <v>427.02697835116948</v>
      </c>
    </row>
    <row r="10" spans="2:34" x14ac:dyDescent="0.25">
      <c r="B10" s="36" t="s">
        <v>78</v>
      </c>
      <c r="C10" s="47">
        <v>-12</v>
      </c>
      <c r="D10" s="32">
        <f>Q10-C10</f>
        <v>0.90000000000000036</v>
      </c>
      <c r="E10" s="47">
        <v>1.6</v>
      </c>
      <c r="F10" s="32">
        <f>R10-E10</f>
        <v>0.69999999999999973</v>
      </c>
      <c r="G10" s="47">
        <v>-2.9</v>
      </c>
      <c r="H10" s="32">
        <f>S10-G10</f>
        <v>81.100000000000009</v>
      </c>
      <c r="I10" s="47">
        <v>11.6</v>
      </c>
      <c r="J10" s="32">
        <f>T10-I10</f>
        <v>12.4</v>
      </c>
      <c r="K10">
        <v>16.399999999999999</v>
      </c>
      <c r="L10" s="89">
        <f>U10-K10</f>
        <v>13.600000000000001</v>
      </c>
      <c r="O10" s="128">
        <v>15.5</v>
      </c>
      <c r="Q10" s="47">
        <v>-11.1</v>
      </c>
      <c r="R10">
        <v>2.2999999999999998</v>
      </c>
      <c r="S10">
        <v>78.2</v>
      </c>
      <c r="T10">
        <v>24</v>
      </c>
      <c r="U10" s="101">
        <f>T10*1.25</f>
        <v>30</v>
      </c>
      <c r="V10" s="63">
        <f>U10*1.04</f>
        <v>31.200000000000003</v>
      </c>
      <c r="W10" s="63">
        <f>V10*1.04</f>
        <v>32.448000000000008</v>
      </c>
      <c r="X10" s="63">
        <f>W10*1.04</f>
        <v>33.745920000000012</v>
      </c>
      <c r="Y10" s="63">
        <f t="shared" ref="Y10:AH10" si="16">X10*1.04</f>
        <v>35.095756800000011</v>
      </c>
      <c r="Z10" s="63">
        <f t="shared" si="16"/>
        <v>36.499587072000011</v>
      </c>
      <c r="AA10" s="63">
        <f t="shared" si="16"/>
        <v>37.95957055488001</v>
      </c>
      <c r="AB10" s="63">
        <f t="shared" si="16"/>
        <v>39.47795337707521</v>
      </c>
      <c r="AC10" s="63">
        <f t="shared" si="16"/>
        <v>41.057071512158217</v>
      </c>
      <c r="AD10" s="63">
        <f t="shared" si="16"/>
        <v>42.699354372644549</v>
      </c>
      <c r="AE10" s="63">
        <f t="shared" si="16"/>
        <v>44.407328547550335</v>
      </c>
      <c r="AF10" s="63">
        <f t="shared" si="16"/>
        <v>46.183621689452352</v>
      </c>
      <c r="AG10" s="63">
        <f t="shared" si="16"/>
        <v>48.030966557030446</v>
      </c>
      <c r="AH10" s="63">
        <f t="shared" si="16"/>
        <v>49.952205219311665</v>
      </c>
    </row>
    <row r="11" spans="2:34" x14ac:dyDescent="0.25">
      <c r="B11" s="25" t="s">
        <v>79</v>
      </c>
      <c r="C11" s="46">
        <f t="shared" ref="C11:J11" si="17">C7-C8-C9-C10</f>
        <v>60</v>
      </c>
      <c r="D11" s="33">
        <f t="shared" si="17"/>
        <v>39.700000000000067</v>
      </c>
      <c r="E11" s="46">
        <f t="shared" si="17"/>
        <v>24.700000000000024</v>
      </c>
      <c r="F11" s="33">
        <f t="shared" si="17"/>
        <v>27.499999999999918</v>
      </c>
      <c r="G11" s="46">
        <f t="shared" si="17"/>
        <v>54.000000000000036</v>
      </c>
      <c r="H11" s="33">
        <f t="shared" si="17"/>
        <v>-21.200000000000017</v>
      </c>
      <c r="I11" s="46">
        <f t="shared" si="17"/>
        <v>61.999999999999964</v>
      </c>
      <c r="J11" s="33">
        <f t="shared" si="17"/>
        <v>25.000000000000092</v>
      </c>
      <c r="K11" s="46">
        <f>K7-K8-K9-K10</f>
        <v>15.100000000000016</v>
      </c>
      <c r="L11" s="90">
        <f>L7-L8-L9-L10</f>
        <v>100.28800000000015</v>
      </c>
      <c r="O11" s="126">
        <v>36.304000000000059</v>
      </c>
      <c r="Q11" s="46">
        <f>Q7-Q8-Q9-Q10</f>
        <v>99.700000000000045</v>
      </c>
      <c r="R11" s="25">
        <f>R7-R8-R9-R10</f>
        <v>52.199999999999918</v>
      </c>
      <c r="S11" s="25">
        <f>S7-S8-S9-S10</f>
        <v>32.800000000000054</v>
      </c>
      <c r="T11" s="25">
        <f>T7-T8-T9-T10</f>
        <v>87.000000000000057</v>
      </c>
      <c r="U11" s="99">
        <f>U7-U8-U9-U10</f>
        <v>115.38800000000012</v>
      </c>
      <c r="V11" s="61">
        <f t="shared" ref="V11:X11" si="18">V7-V8-V9-V10</f>
        <v>154.38800000000026</v>
      </c>
      <c r="W11" s="61">
        <f t="shared" si="18"/>
        <v>199.98427520000033</v>
      </c>
      <c r="X11" s="61">
        <f t="shared" si="18"/>
        <v>216.94287206400037</v>
      </c>
      <c r="Y11" s="61">
        <f t="shared" ref="Y11:AH11" si="19">Y7-Y8-Y9-Y10</f>
        <v>235.02777409536026</v>
      </c>
      <c r="Z11" s="61">
        <f t="shared" si="19"/>
        <v>254.3064315654147</v>
      </c>
      <c r="AA11" s="61">
        <f t="shared" si="19"/>
        <v>274.85011265958326</v>
      </c>
      <c r="AB11" s="61">
        <f t="shared" si="19"/>
        <v>296.73411218909638</v>
      </c>
      <c r="AC11" s="61">
        <f t="shared" si="19"/>
        <v>320.0379714509462</v>
      </c>
      <c r="AD11" s="61">
        <f t="shared" si="19"/>
        <v>344.84570982198471</v>
      </c>
      <c r="AE11" s="61">
        <f t="shared" si="19"/>
        <v>371.24606870351454</v>
      </c>
      <c r="AF11" s="61">
        <f t="shared" si="19"/>
        <v>399.3327684647378</v>
      </c>
      <c r="AG11" s="61">
        <f t="shared" si="19"/>
        <v>429.20477906706446</v>
      </c>
      <c r="AH11" s="61">
        <f t="shared" si="19"/>
        <v>460.96660508667094</v>
      </c>
    </row>
    <row r="12" spans="2:34" x14ac:dyDescent="0.25">
      <c r="B12" s="36" t="s">
        <v>80</v>
      </c>
      <c r="C12" s="47">
        <v>0.3</v>
      </c>
      <c r="D12" s="32">
        <f>Q12-C12</f>
        <v>0.3</v>
      </c>
      <c r="E12" s="47">
        <v>0.4</v>
      </c>
      <c r="F12" s="32">
        <f>R12-E12</f>
        <v>9.9999999999999978E-2</v>
      </c>
      <c r="G12" s="47">
        <v>0.1</v>
      </c>
      <c r="H12" s="32">
        <f>S12-G12</f>
        <v>0</v>
      </c>
      <c r="I12" s="47">
        <v>0.1</v>
      </c>
      <c r="J12" s="32">
        <f>T12-I12</f>
        <v>0</v>
      </c>
      <c r="K12">
        <v>0.1</v>
      </c>
      <c r="L12" s="89">
        <f>U12-K12</f>
        <v>0</v>
      </c>
      <c r="O12" s="127">
        <v>0.1</v>
      </c>
      <c r="Q12" s="47">
        <v>0.6</v>
      </c>
      <c r="R12" s="36">
        <v>0.5</v>
      </c>
      <c r="S12" s="36">
        <v>0.1</v>
      </c>
      <c r="T12" s="36">
        <v>0.1</v>
      </c>
      <c r="U12" s="100">
        <v>0.1</v>
      </c>
      <c r="V12" s="62">
        <v>0.1</v>
      </c>
      <c r="W12" s="62">
        <v>0.1</v>
      </c>
      <c r="X12" s="62">
        <v>0.1</v>
      </c>
      <c r="Y12" s="62">
        <v>0.1</v>
      </c>
      <c r="Z12" s="62">
        <v>0.1</v>
      </c>
      <c r="AA12" s="62">
        <v>0.1</v>
      </c>
      <c r="AB12" s="62">
        <v>0.1</v>
      </c>
      <c r="AC12" s="62">
        <v>0.1</v>
      </c>
      <c r="AD12" s="62">
        <v>0.1</v>
      </c>
      <c r="AE12" s="62">
        <v>0.1</v>
      </c>
      <c r="AF12" s="62">
        <v>0.1</v>
      </c>
      <c r="AG12" s="62">
        <v>0.1</v>
      </c>
      <c r="AH12" s="62">
        <v>0.1</v>
      </c>
    </row>
    <row r="13" spans="2:34" x14ac:dyDescent="0.25">
      <c r="B13" s="36" t="s">
        <v>81</v>
      </c>
      <c r="C13" s="47">
        <v>0.1</v>
      </c>
      <c r="D13" s="32">
        <f>Q13-C13</f>
        <v>0.6</v>
      </c>
      <c r="E13" s="47">
        <v>2.9</v>
      </c>
      <c r="F13" s="32">
        <f>R13-E13</f>
        <v>4.3000000000000007</v>
      </c>
      <c r="G13" s="47">
        <v>3.1</v>
      </c>
      <c r="H13" s="32">
        <f>S13-G13</f>
        <v>2.9999999999999996</v>
      </c>
      <c r="I13" s="47">
        <v>4.2</v>
      </c>
      <c r="J13" s="32">
        <f>T13-I13</f>
        <v>1.5999999999999996</v>
      </c>
      <c r="K13">
        <v>0.8</v>
      </c>
      <c r="L13" s="89">
        <f>U13-K13</f>
        <v>5.2</v>
      </c>
      <c r="O13" s="127">
        <v>6</v>
      </c>
      <c r="Q13" s="47">
        <v>0.7</v>
      </c>
      <c r="R13" s="36">
        <v>7.2</v>
      </c>
      <c r="S13" s="36">
        <v>6.1</v>
      </c>
      <c r="T13" s="36">
        <v>5.8</v>
      </c>
      <c r="U13" s="100">
        <v>6</v>
      </c>
      <c r="V13" s="62">
        <v>6</v>
      </c>
      <c r="W13" s="62">
        <v>6</v>
      </c>
      <c r="X13" s="62">
        <v>6</v>
      </c>
      <c r="Y13" s="62">
        <v>6</v>
      </c>
      <c r="Z13" s="62">
        <v>6</v>
      </c>
      <c r="AA13" s="62">
        <v>6</v>
      </c>
      <c r="AB13" s="62">
        <v>6</v>
      </c>
      <c r="AC13" s="62">
        <v>6</v>
      </c>
      <c r="AD13" s="62">
        <v>6</v>
      </c>
      <c r="AE13" s="62">
        <v>6</v>
      </c>
      <c r="AF13" s="62">
        <v>6</v>
      </c>
      <c r="AG13" s="62">
        <v>6</v>
      </c>
      <c r="AH13" s="62">
        <v>6</v>
      </c>
    </row>
    <row r="14" spans="2:34" x14ac:dyDescent="0.25">
      <c r="B14" s="36" t="s">
        <v>82</v>
      </c>
      <c r="C14" s="47">
        <v>-0.1</v>
      </c>
      <c r="D14" s="32">
        <f>Q14-C14</f>
        <v>9.2000000000000011</v>
      </c>
      <c r="E14" s="47">
        <v>0</v>
      </c>
      <c r="F14" s="32">
        <f>R14-E14</f>
        <v>0.2</v>
      </c>
      <c r="G14" s="47">
        <v>-0.1</v>
      </c>
      <c r="H14" s="32">
        <f>S14-G14</f>
        <v>0.2</v>
      </c>
      <c r="I14" s="47">
        <v>0</v>
      </c>
      <c r="J14" s="32">
        <f>T14-I14</f>
        <v>0</v>
      </c>
      <c r="K14">
        <v>0</v>
      </c>
      <c r="L14" s="89">
        <f>U14-K14</f>
        <v>0.1</v>
      </c>
      <c r="O14" s="127">
        <v>0.1</v>
      </c>
      <c r="Q14" s="47">
        <f>9.3+-0.2</f>
        <v>9.1000000000000014</v>
      </c>
      <c r="R14" s="36">
        <v>0.2</v>
      </c>
      <c r="S14" s="36">
        <v>0.1</v>
      </c>
      <c r="T14" s="36">
        <v>0</v>
      </c>
      <c r="U14" s="100">
        <v>0.1</v>
      </c>
      <c r="V14" s="62">
        <v>0.1</v>
      </c>
      <c r="W14" s="62">
        <v>0.1</v>
      </c>
      <c r="X14" s="62">
        <v>0.1</v>
      </c>
      <c r="Y14" s="62">
        <v>0.1</v>
      </c>
      <c r="Z14" s="62">
        <v>0.1</v>
      </c>
      <c r="AA14" s="62">
        <v>0.1</v>
      </c>
      <c r="AB14" s="62">
        <v>0.1</v>
      </c>
      <c r="AC14" s="62">
        <v>0.1</v>
      </c>
      <c r="AD14" s="62">
        <v>0.1</v>
      </c>
      <c r="AE14" s="62">
        <v>0.1</v>
      </c>
      <c r="AF14" s="62">
        <v>0.1</v>
      </c>
      <c r="AG14" s="62">
        <v>0.1</v>
      </c>
      <c r="AH14" s="62">
        <v>0.1</v>
      </c>
    </row>
    <row r="15" spans="2:34" x14ac:dyDescent="0.25">
      <c r="B15" s="36" t="s">
        <v>83</v>
      </c>
      <c r="C15" s="47">
        <f t="shared" ref="C15:J15" si="20">C11+C12-C13+C14</f>
        <v>60.099999999999994</v>
      </c>
      <c r="D15" s="32">
        <f t="shared" si="20"/>
        <v>48.600000000000065</v>
      </c>
      <c r="E15" s="47">
        <f t="shared" si="20"/>
        <v>22.200000000000024</v>
      </c>
      <c r="F15" s="32">
        <f t="shared" si="20"/>
        <v>23.499999999999918</v>
      </c>
      <c r="G15" s="47">
        <f t="shared" si="20"/>
        <v>50.900000000000034</v>
      </c>
      <c r="H15" s="32">
        <f t="shared" si="20"/>
        <v>-24.000000000000018</v>
      </c>
      <c r="I15" s="47">
        <f t="shared" si="20"/>
        <v>57.899999999999963</v>
      </c>
      <c r="J15" s="32">
        <f t="shared" si="20"/>
        <v>23.400000000000091</v>
      </c>
      <c r="K15" s="47">
        <f>K11+K12-K13+K14</f>
        <v>14.400000000000015</v>
      </c>
      <c r="L15" s="91">
        <f>L11+L12-L13-L14</f>
        <v>94.988000000000156</v>
      </c>
      <c r="O15" s="127">
        <v>30.304000000000059</v>
      </c>
      <c r="Q15" s="47">
        <f>Q11+Q12-Q13+Q14</f>
        <v>108.70000000000005</v>
      </c>
      <c r="R15" s="36">
        <f>R11+R12-R13-R14</f>
        <v>45.299999999999912</v>
      </c>
      <c r="S15" s="36">
        <f>S11+S12-S13-S14</f>
        <v>26.700000000000053</v>
      </c>
      <c r="T15" s="36">
        <f>T11+T12-T13-T14</f>
        <v>81.300000000000054</v>
      </c>
      <c r="U15" s="100">
        <f>U11+U12-U13-U14</f>
        <v>109.38800000000012</v>
      </c>
      <c r="V15" s="62">
        <f t="shared" ref="V15:X15" si="21">V11+V12-V13-V14</f>
        <v>148.38800000000026</v>
      </c>
      <c r="W15" s="62">
        <f t="shared" si="21"/>
        <v>193.98427520000033</v>
      </c>
      <c r="X15" s="62">
        <f t="shared" si="21"/>
        <v>210.94287206400037</v>
      </c>
      <c r="Y15" s="62">
        <f t="shared" ref="Y15:AH15" si="22">Y11+Y12-Y13-Y14</f>
        <v>229.02777409536026</v>
      </c>
      <c r="Z15" s="62">
        <f t="shared" si="22"/>
        <v>248.3064315654147</v>
      </c>
      <c r="AA15" s="62">
        <f t="shared" si="22"/>
        <v>268.85011265958326</v>
      </c>
      <c r="AB15" s="62">
        <f t="shared" si="22"/>
        <v>290.73411218909638</v>
      </c>
      <c r="AC15" s="62">
        <f t="shared" si="22"/>
        <v>314.0379714509462</v>
      </c>
      <c r="AD15" s="62">
        <f t="shared" si="22"/>
        <v>338.84570982198471</v>
      </c>
      <c r="AE15" s="62">
        <f t="shared" si="22"/>
        <v>365.24606870351454</v>
      </c>
      <c r="AF15" s="62">
        <f t="shared" si="22"/>
        <v>393.3327684647378</v>
      </c>
      <c r="AG15" s="62">
        <f t="shared" si="22"/>
        <v>423.20477906706446</v>
      </c>
      <c r="AH15" s="62">
        <f t="shared" si="22"/>
        <v>454.96660508667094</v>
      </c>
    </row>
    <row r="16" spans="2:34" x14ac:dyDescent="0.25">
      <c r="B16" s="36" t="s">
        <v>84</v>
      </c>
      <c r="C16" s="47">
        <v>4.7</v>
      </c>
      <c r="D16" s="32">
        <f>Q16-C16</f>
        <v>9.1999999999999993</v>
      </c>
      <c r="E16" s="47">
        <v>2.5</v>
      </c>
      <c r="F16" s="32">
        <f>R16-E16</f>
        <v>1.2000000000000002</v>
      </c>
      <c r="G16" s="47">
        <v>5.4</v>
      </c>
      <c r="H16" s="32">
        <f>S16-G16</f>
        <v>10</v>
      </c>
      <c r="I16" s="47">
        <v>7.2</v>
      </c>
      <c r="J16" s="32">
        <f>T16-I16</f>
        <v>5.2</v>
      </c>
      <c r="K16">
        <v>2.4</v>
      </c>
      <c r="L16" s="89">
        <f>U16-K16</f>
        <v>10.772544000000002</v>
      </c>
      <c r="O16" s="128">
        <v>6.0708480000000016</v>
      </c>
      <c r="Q16" s="47">
        <v>13.9</v>
      </c>
      <c r="R16" s="36">
        <v>3.7</v>
      </c>
      <c r="S16" s="36">
        <v>15.4</v>
      </c>
      <c r="T16" s="36">
        <v>12.4</v>
      </c>
      <c r="U16" s="101">
        <f>U3*0.012</f>
        <v>13.172544000000002</v>
      </c>
      <c r="V16" s="63">
        <f t="shared" ref="V16:X16" si="23">V3*0.012</f>
        <v>14.753249280000006</v>
      </c>
      <c r="W16" s="63">
        <f t="shared" si="23"/>
        <v>16.523639193600008</v>
      </c>
      <c r="X16" s="63">
        <f t="shared" si="23"/>
        <v>17.349821153280008</v>
      </c>
      <c r="Y16" s="63">
        <f t="shared" ref="Y16:AH16" si="24">Y3*0.012</f>
        <v>18.217312210944009</v>
      </c>
      <c r="Z16" s="63">
        <f t="shared" si="24"/>
        <v>19.12817782149121</v>
      </c>
      <c r="AA16" s="63">
        <f t="shared" si="24"/>
        <v>20.084586712565773</v>
      </c>
      <c r="AB16" s="63">
        <f t="shared" si="24"/>
        <v>21.088816048194062</v>
      </c>
      <c r="AC16" s="63">
        <f t="shared" si="24"/>
        <v>22.143256850603766</v>
      </c>
      <c r="AD16" s="63">
        <f t="shared" si="24"/>
        <v>23.250419693133956</v>
      </c>
      <c r="AE16" s="63">
        <f t="shared" si="24"/>
        <v>24.412940677790655</v>
      </c>
      <c r="AF16" s="63">
        <f t="shared" si="24"/>
        <v>25.633587711680185</v>
      </c>
      <c r="AG16" s="63">
        <f t="shared" si="24"/>
        <v>26.915267097264199</v>
      </c>
      <c r="AH16" s="63">
        <f t="shared" si="24"/>
        <v>28.261030452127407</v>
      </c>
    </row>
    <row r="17" spans="2:86" x14ac:dyDescent="0.25">
      <c r="B17" s="25" t="s">
        <v>85</v>
      </c>
      <c r="C17" s="46">
        <f t="shared" ref="C17:J17" si="25">C15-C16</f>
        <v>55.399999999999991</v>
      </c>
      <c r="D17" s="33">
        <f t="shared" si="25"/>
        <v>39.400000000000063</v>
      </c>
      <c r="E17" s="46">
        <f t="shared" si="25"/>
        <v>19.700000000000024</v>
      </c>
      <c r="F17" s="33">
        <f t="shared" si="25"/>
        <v>22.299999999999919</v>
      </c>
      <c r="G17" s="46">
        <f t="shared" si="25"/>
        <v>45.500000000000036</v>
      </c>
      <c r="H17" s="33">
        <f t="shared" si="25"/>
        <v>-34.000000000000014</v>
      </c>
      <c r="I17" s="46">
        <f t="shared" si="25"/>
        <v>50.69999999999996</v>
      </c>
      <c r="J17" s="33">
        <f t="shared" si="25"/>
        <v>18.200000000000092</v>
      </c>
      <c r="K17" s="136">
        <f>K15-K16</f>
        <v>12.000000000000014</v>
      </c>
      <c r="L17" s="90">
        <f>L15-L16</f>
        <v>84.21545600000016</v>
      </c>
      <c r="M17" s="25"/>
      <c r="N17" s="25"/>
      <c r="O17" s="126">
        <v>24.233152000000057</v>
      </c>
      <c r="P17" s="25"/>
      <c r="Q17" s="46">
        <f>Q15-Q16</f>
        <v>94.80000000000004</v>
      </c>
      <c r="R17" s="25">
        <f>R15-R16</f>
        <v>41.599999999999909</v>
      </c>
      <c r="S17" s="25">
        <f>S15-S16</f>
        <v>11.300000000000052</v>
      </c>
      <c r="T17" s="25">
        <f>T15-T16</f>
        <v>68.900000000000048</v>
      </c>
      <c r="U17" s="99">
        <f>U15-U16</f>
        <v>96.215456000000117</v>
      </c>
      <c r="V17" s="61">
        <f t="shared" ref="V17:X17" si="26">V15-V16</f>
        <v>133.63475072000026</v>
      </c>
      <c r="W17" s="61">
        <f t="shared" si="26"/>
        <v>177.46063600640031</v>
      </c>
      <c r="X17" s="61">
        <f t="shared" si="26"/>
        <v>193.59305091072036</v>
      </c>
      <c r="Y17" s="61">
        <f t="shared" ref="Y17:AH17" si="27">Y15-Y16</f>
        <v>210.81046188441624</v>
      </c>
      <c r="Z17" s="61">
        <f t="shared" si="27"/>
        <v>229.17825374392348</v>
      </c>
      <c r="AA17" s="61">
        <f t="shared" si="27"/>
        <v>248.76552594701749</v>
      </c>
      <c r="AB17" s="61">
        <f t="shared" si="27"/>
        <v>269.6452961409023</v>
      </c>
      <c r="AC17" s="61">
        <f t="shared" si="27"/>
        <v>291.89471460034241</v>
      </c>
      <c r="AD17" s="61">
        <f t="shared" si="27"/>
        <v>315.59529012885076</v>
      </c>
      <c r="AE17" s="61">
        <f t="shared" si="27"/>
        <v>340.83312802572391</v>
      </c>
      <c r="AF17" s="61">
        <f t="shared" si="27"/>
        <v>367.69918075305759</v>
      </c>
      <c r="AG17" s="61">
        <f t="shared" si="27"/>
        <v>396.28951196980029</v>
      </c>
      <c r="AH17" s="61">
        <f t="shared" si="27"/>
        <v>426.70557463454355</v>
      </c>
      <c r="AI17" s="61">
        <f>AH17*(1+$AL$20)</f>
        <v>413.90440739550723</v>
      </c>
      <c r="AJ17" s="61">
        <f t="shared" ref="AJ17:CH17" si="28">AI17*(1+$AL$20)</f>
        <v>401.48727517364199</v>
      </c>
      <c r="AK17" s="61">
        <f t="shared" si="28"/>
        <v>389.4426569184327</v>
      </c>
      <c r="AL17" s="61">
        <f t="shared" si="28"/>
        <v>377.75937721087973</v>
      </c>
      <c r="AM17" s="61">
        <f t="shared" si="28"/>
        <v>366.42659589455332</v>
      </c>
      <c r="AN17" s="61">
        <f t="shared" si="28"/>
        <v>355.4337980177167</v>
      </c>
      <c r="AO17" s="61">
        <f t="shared" si="28"/>
        <v>344.77078407718517</v>
      </c>
      <c r="AP17" s="61">
        <f t="shared" si="28"/>
        <v>334.42766055486959</v>
      </c>
      <c r="AQ17" s="61">
        <f t="shared" si="28"/>
        <v>324.3948307382235</v>
      </c>
      <c r="AR17" s="61">
        <f t="shared" si="28"/>
        <v>314.6629858160768</v>
      </c>
      <c r="AS17" s="61">
        <f t="shared" si="28"/>
        <v>305.22309624159448</v>
      </c>
      <c r="AT17" s="61">
        <f t="shared" si="28"/>
        <v>296.06640335434662</v>
      </c>
      <c r="AU17" s="61">
        <f t="shared" si="28"/>
        <v>287.18441125371623</v>
      </c>
      <c r="AV17" s="61">
        <f t="shared" si="28"/>
        <v>278.56887891610472</v>
      </c>
      <c r="AW17" s="61">
        <f t="shared" si="28"/>
        <v>270.21181254862159</v>
      </c>
      <c r="AX17" s="61">
        <f t="shared" si="28"/>
        <v>262.10545817216291</v>
      </c>
      <c r="AY17" s="61">
        <f t="shared" si="28"/>
        <v>254.24229442699803</v>
      </c>
      <c r="AZ17" s="61">
        <f t="shared" si="28"/>
        <v>246.61502559418807</v>
      </c>
      <c r="BA17" s="61">
        <f t="shared" si="28"/>
        <v>239.21657482636243</v>
      </c>
      <c r="BB17" s="61">
        <f t="shared" si="28"/>
        <v>232.04007758157155</v>
      </c>
      <c r="BC17" s="61">
        <f t="shared" si="28"/>
        <v>225.0788752541244</v>
      </c>
      <c r="BD17" s="61">
        <f t="shared" si="28"/>
        <v>218.32650899650065</v>
      </c>
      <c r="BE17" s="61">
        <f t="shared" si="28"/>
        <v>211.77671372660564</v>
      </c>
      <c r="BF17" s="61">
        <f t="shared" si="28"/>
        <v>205.42341231480745</v>
      </c>
      <c r="BG17" s="61">
        <f t="shared" si="28"/>
        <v>199.26070994536323</v>
      </c>
      <c r="BH17" s="61">
        <f t="shared" si="28"/>
        <v>193.28288864700232</v>
      </c>
      <c r="BI17" s="61">
        <f t="shared" si="28"/>
        <v>187.48440198759224</v>
      </c>
      <c r="BJ17" s="61">
        <f t="shared" si="28"/>
        <v>181.85986992796447</v>
      </c>
      <c r="BK17" s="61">
        <f t="shared" si="28"/>
        <v>176.40407383012553</v>
      </c>
      <c r="BL17" s="61">
        <f t="shared" si="28"/>
        <v>171.11195161522176</v>
      </c>
      <c r="BM17" s="61">
        <f t="shared" si="28"/>
        <v>165.97859306676509</v>
      </c>
      <c r="BN17" s="61">
        <f t="shared" si="28"/>
        <v>160.99923527476213</v>
      </c>
      <c r="BO17" s="61">
        <f t="shared" si="28"/>
        <v>156.16925821651927</v>
      </c>
      <c r="BP17" s="61">
        <f t="shared" si="28"/>
        <v>151.48418047002369</v>
      </c>
      <c r="BQ17" s="61">
        <f t="shared" si="28"/>
        <v>146.93965505592297</v>
      </c>
      <c r="BR17" s="61">
        <f t="shared" si="28"/>
        <v>142.53146540424527</v>
      </c>
      <c r="BS17" s="61">
        <f t="shared" si="28"/>
        <v>138.2555214421179</v>
      </c>
      <c r="BT17" s="61">
        <f t="shared" si="28"/>
        <v>134.10785579885436</v>
      </c>
      <c r="BU17" s="61">
        <f t="shared" si="28"/>
        <v>130.08462012488872</v>
      </c>
      <c r="BV17" s="61">
        <f t="shared" si="28"/>
        <v>126.18208152114205</v>
      </c>
      <c r="BW17" s="61">
        <f t="shared" si="28"/>
        <v>122.39661907550779</v>
      </c>
      <c r="BX17" s="61">
        <f t="shared" si="28"/>
        <v>118.72472050324255</v>
      </c>
      <c r="BY17" s="61">
        <f t="shared" si="28"/>
        <v>115.16297888814528</v>
      </c>
      <c r="BZ17" s="61">
        <f t="shared" si="28"/>
        <v>111.70808952150091</v>
      </c>
      <c r="CA17" s="61">
        <f t="shared" si="28"/>
        <v>108.35684683585588</v>
      </c>
      <c r="CB17" s="61">
        <f t="shared" si="28"/>
        <v>105.1061414307802</v>
      </c>
      <c r="CC17" s="61">
        <f t="shared" si="28"/>
        <v>101.9529571878568</v>
      </c>
      <c r="CD17" s="61">
        <f t="shared" si="28"/>
        <v>98.894368472221089</v>
      </c>
      <c r="CE17" s="61">
        <f t="shared" si="28"/>
        <v>95.927537418054456</v>
      </c>
      <c r="CF17" s="61">
        <f t="shared" si="28"/>
        <v>93.049711295512822</v>
      </c>
      <c r="CG17" s="61">
        <f t="shared" si="28"/>
        <v>90.258219956647437</v>
      </c>
      <c r="CH17" s="61">
        <f t="shared" si="28"/>
        <v>87.550473357948007</v>
      </c>
    </row>
    <row r="18" spans="2:86" x14ac:dyDescent="0.25">
      <c r="B18" s="36" t="s">
        <v>86</v>
      </c>
      <c r="C18" s="48">
        <f t="shared" ref="C18:K18" si="29">C17/C19</f>
        <v>0.15406237981865581</v>
      </c>
      <c r="D18" s="55">
        <f t="shared" si="29"/>
        <v>0.10738586516487969</v>
      </c>
      <c r="E18" s="48">
        <f t="shared" si="29"/>
        <v>5.3742048175146807E-2</v>
      </c>
      <c r="F18" s="55">
        <f t="shared" si="29"/>
        <v>6.0384141705495976E-2</v>
      </c>
      <c r="G18" s="48">
        <f t="shared" si="29"/>
        <v>0.12348448006481083</v>
      </c>
      <c r="H18" s="55">
        <f t="shared" si="29"/>
        <v>-9.2243929380207298E-2</v>
      </c>
      <c r="I18" s="48">
        <f t="shared" si="29"/>
        <v>0.13680300175898699</v>
      </c>
      <c r="J18" s="55">
        <f t="shared" si="29"/>
        <v>4.9005998277644049E-2</v>
      </c>
      <c r="K18" s="48">
        <f t="shared" si="29"/>
        <v>2.9490166916703996E-2</v>
      </c>
      <c r="L18" s="91">
        <f>L17/L19</f>
        <v>0.22198586135908538</v>
      </c>
      <c r="O18" s="127">
        <v>6.5537325247544645E-2</v>
      </c>
      <c r="Q18" s="48">
        <f>Q17/Q19</f>
        <v>0.25838020349316199</v>
      </c>
      <c r="R18" s="42">
        <f>R17/R19</f>
        <v>0.1126448562757236</v>
      </c>
      <c r="S18" s="42">
        <f>S17/S19</f>
        <v>3.0657541235186672E-2</v>
      </c>
      <c r="T18" s="42">
        <f>T17/T19</f>
        <v>0.18552270776536595</v>
      </c>
      <c r="U18" s="100">
        <f>U17/U19</f>
        <v>0.26071567295834686</v>
      </c>
      <c r="V18" s="62">
        <f t="shared" ref="V18:X18" si="30">V17/V19</f>
        <v>0.36158620094976168</v>
      </c>
      <c r="W18" s="62">
        <f t="shared" si="30"/>
        <v>0.48007944725411306</v>
      </c>
      <c r="X18" s="62">
        <f t="shared" si="30"/>
        <v>0.52334665675708303</v>
      </c>
      <c r="Y18" s="62">
        <f t="shared" ref="Y18:AH18" si="31">Y17/Y19</f>
        <v>0.57045760992742511</v>
      </c>
      <c r="Z18" s="62">
        <f t="shared" si="31"/>
        <v>0.61995045064952148</v>
      </c>
      <c r="AA18" s="62">
        <f t="shared" si="31"/>
        <v>0.67289384717276157</v>
      </c>
      <c r="AB18" s="62">
        <f t="shared" si="31"/>
        <v>0.72934923515366246</v>
      </c>
      <c r="AC18" s="62">
        <f t="shared" si="31"/>
        <v>0.78964098944269046</v>
      </c>
      <c r="AD18" s="62">
        <f t="shared" si="31"/>
        <v>0.85369360987677456</v>
      </c>
      <c r="AE18" s="62">
        <f t="shared" si="31"/>
        <v>0.92195623045878794</v>
      </c>
      <c r="AF18" s="62">
        <f t="shared" si="31"/>
        <v>0.99463606132635662</v>
      </c>
      <c r="AG18" s="62">
        <f t="shared" si="31"/>
        <v>1.0719914743895653</v>
      </c>
      <c r="AH18" s="62">
        <f t="shared" si="31"/>
        <v>1.1542526881293376</v>
      </c>
    </row>
    <row r="19" spans="2:86" x14ac:dyDescent="0.25">
      <c r="B19" s="36" t="s">
        <v>1</v>
      </c>
      <c r="C19" s="49">
        <v>359.59460100000001</v>
      </c>
      <c r="D19" s="51">
        <f>Q19</f>
        <v>366.90117400000003</v>
      </c>
      <c r="E19" s="49">
        <v>366.56585799999999</v>
      </c>
      <c r="F19" s="51">
        <f>R19</f>
        <v>369.30225999999999</v>
      </c>
      <c r="G19" s="49">
        <v>368.46735699999999</v>
      </c>
      <c r="H19" s="51">
        <f>S19</f>
        <v>368.587941</v>
      </c>
      <c r="I19" s="49">
        <v>370.60590300000001</v>
      </c>
      <c r="J19" s="51">
        <f>T19</f>
        <v>371.38310899999999</v>
      </c>
      <c r="K19" s="123">
        <v>406.91529600000001</v>
      </c>
      <c r="L19" s="89">
        <f>AVERAGE(H19:K19)</f>
        <v>379.37306224999998</v>
      </c>
      <c r="O19" s="128">
        <v>369.76107749999994</v>
      </c>
      <c r="Q19" s="49">
        <v>366.90117400000003</v>
      </c>
      <c r="R19" s="43">
        <v>369.30225999999999</v>
      </c>
      <c r="S19" s="43">
        <v>368.587941</v>
      </c>
      <c r="T19" s="43">
        <v>371.38310899999999</v>
      </c>
      <c r="U19" s="101">
        <f>AVERAGE(Q19:T19)</f>
        <v>369.04362100000003</v>
      </c>
      <c r="V19" s="63">
        <f t="shared" ref="V19:X19" si="32">AVERAGE(R19:U19)</f>
        <v>369.57923275000002</v>
      </c>
      <c r="W19" s="63">
        <f t="shared" si="32"/>
        <v>369.6484759375</v>
      </c>
      <c r="X19" s="63">
        <f t="shared" si="32"/>
        <v>369.91360967187501</v>
      </c>
      <c r="Y19" s="63">
        <f t="shared" ref="Y19" si="33">AVERAGE(U19:X19)</f>
        <v>369.54623483984381</v>
      </c>
      <c r="Z19" s="63">
        <f t="shared" ref="Z19" si="34">AVERAGE(V19:Y19)</f>
        <v>369.67188829980466</v>
      </c>
      <c r="AA19" s="63">
        <f t="shared" ref="AA19" si="35">AVERAGE(W19:Z19)</f>
        <v>369.6950521872559</v>
      </c>
      <c r="AB19" s="63">
        <f t="shared" ref="AB19" si="36">AVERAGE(X19:AA19)</f>
        <v>369.7066962496948</v>
      </c>
      <c r="AC19" s="63">
        <f t="shared" ref="AC19" si="37">AVERAGE(Y19:AB19)</f>
        <v>369.65496789414976</v>
      </c>
      <c r="AD19" s="63">
        <f t="shared" ref="AD19" si="38">AVERAGE(Z19:AC19)</f>
        <v>369.68215115772625</v>
      </c>
      <c r="AE19" s="63">
        <f t="shared" ref="AE19" si="39">AVERAGE(AA19:AD19)</f>
        <v>369.68471687220665</v>
      </c>
      <c r="AF19" s="63">
        <f t="shared" ref="AF19" si="40">AVERAGE(AB19:AE19)</f>
        <v>369.68213304344431</v>
      </c>
      <c r="AG19" s="63">
        <f t="shared" ref="AG19" si="41">AVERAGE(AC19:AF19)</f>
        <v>369.67599224188172</v>
      </c>
      <c r="AH19" s="63">
        <f t="shared" ref="AH19" si="42">AVERAGE(AD19:AG19)</f>
        <v>369.68124832881472</v>
      </c>
    </row>
    <row r="20" spans="2:86" x14ac:dyDescent="0.25">
      <c r="D20" s="37"/>
      <c r="F20" s="37"/>
      <c r="H20" s="32"/>
      <c r="J20" s="32"/>
      <c r="L20" s="32"/>
      <c r="O20" s="129"/>
      <c r="S20" s="36"/>
      <c r="T20" s="36"/>
      <c r="AK20" s="71" t="s">
        <v>120</v>
      </c>
      <c r="AL20" s="64">
        <v>-0.03</v>
      </c>
    </row>
    <row r="21" spans="2:86" x14ac:dyDescent="0.25">
      <c r="B21" t="s">
        <v>70</v>
      </c>
      <c r="C21" s="39">
        <f t="shared" ref="C21:J21" si="43">C7/C3</f>
        <v>0.7439239168721381</v>
      </c>
      <c r="D21" s="52">
        <f t="shared" si="43"/>
        <v>0.74211141410206471</v>
      </c>
      <c r="E21" s="39">
        <f t="shared" si="43"/>
        <v>0.70573386224305812</v>
      </c>
      <c r="F21" s="52">
        <f t="shared" si="43"/>
        <v>0.69434628975265011</v>
      </c>
      <c r="G21" s="39">
        <f t="shared" si="43"/>
        <v>0.66183065154312848</v>
      </c>
      <c r="H21" s="52">
        <f t="shared" si="43"/>
        <v>0.66277093072673177</v>
      </c>
      <c r="I21" s="39">
        <f t="shared" si="43"/>
        <v>0.66691900075700228</v>
      </c>
      <c r="J21" s="52">
        <f t="shared" si="43"/>
        <v>0.63161390303298659</v>
      </c>
      <c r="K21" s="39">
        <f>K7/K3</f>
        <v>0.63715748268593797</v>
      </c>
      <c r="L21" s="52">
        <f>L7/L3</f>
        <v>0.6564996368917938</v>
      </c>
      <c r="O21" s="130">
        <v>0.63161390303298648</v>
      </c>
      <c r="Q21" s="39">
        <f>Q7/Q3</f>
        <v>0.74306326304106551</v>
      </c>
      <c r="R21" s="39">
        <f>R7/R3</f>
        <v>0.69998215241834727</v>
      </c>
      <c r="S21" s="39">
        <f>S7/S3</f>
        <v>0.66235141814758158</v>
      </c>
      <c r="T21" s="39">
        <f>T7/T3</f>
        <v>0.65064789307213555</v>
      </c>
      <c r="U21" s="103">
        <f>U7/U3</f>
        <v>0.65064789307213555</v>
      </c>
      <c r="V21" s="39">
        <f t="shared" ref="V21:X21" si="44">V7/V3</f>
        <v>0.65064789307213555</v>
      </c>
      <c r="W21" s="39">
        <f t="shared" si="44"/>
        <v>0.65064789307213555</v>
      </c>
      <c r="X21" s="39">
        <f t="shared" si="44"/>
        <v>0.65064789307213555</v>
      </c>
      <c r="Y21" s="39">
        <f t="shared" ref="Y21:AH21" si="45">Y7/Y3</f>
        <v>0.65064789307213555</v>
      </c>
      <c r="Z21" s="39">
        <f t="shared" si="45"/>
        <v>0.65064789307213555</v>
      </c>
      <c r="AA21" s="39">
        <f t="shared" si="45"/>
        <v>0.65064789307213555</v>
      </c>
      <c r="AB21" s="39">
        <f t="shared" si="45"/>
        <v>0.65064789307213555</v>
      </c>
      <c r="AC21" s="39">
        <f t="shared" si="45"/>
        <v>0.65064789307213544</v>
      </c>
      <c r="AD21" s="39">
        <f t="shared" si="45"/>
        <v>0.65064789307213555</v>
      </c>
      <c r="AE21" s="39">
        <f t="shared" si="45"/>
        <v>0.65064789307213555</v>
      </c>
      <c r="AF21" s="39">
        <f t="shared" si="45"/>
        <v>0.65064789307213555</v>
      </c>
      <c r="AG21" s="39">
        <f t="shared" si="45"/>
        <v>0.65064789307213555</v>
      </c>
      <c r="AH21" s="39">
        <f t="shared" si="45"/>
        <v>0.65064789307213555</v>
      </c>
      <c r="AK21" s="72" t="s">
        <v>121</v>
      </c>
      <c r="AL21" s="84">
        <v>0.08</v>
      </c>
    </row>
    <row r="22" spans="2:86" x14ac:dyDescent="0.25">
      <c r="B22" t="s">
        <v>69</v>
      </c>
      <c r="C22" s="39">
        <f t="shared" ref="C22:J22" si="46">C11/C3</f>
        <v>0.21134202183867562</v>
      </c>
      <c r="D22" s="52">
        <f t="shared" si="46"/>
        <v>0.15465523957927566</v>
      </c>
      <c r="E22" s="39">
        <f t="shared" si="46"/>
        <v>8.9073205914172462E-2</v>
      </c>
      <c r="F22" s="52">
        <f t="shared" si="46"/>
        <v>9.7173144876324821E-2</v>
      </c>
      <c r="G22" s="39">
        <f t="shared" si="46"/>
        <v>0.14244262727512538</v>
      </c>
      <c r="H22" s="52">
        <f t="shared" si="46"/>
        <v>-4.5048873778155578E-2</v>
      </c>
      <c r="I22" s="39">
        <f t="shared" si="46"/>
        <v>0.11733535200605595</v>
      </c>
      <c r="J22" s="52">
        <f t="shared" si="46"/>
        <v>5.5346468895284683E-2</v>
      </c>
      <c r="K22" s="39">
        <f>K11/K3</f>
        <v>4.5468232460102426E-2</v>
      </c>
      <c r="L22" s="52">
        <f>L11/L3</f>
        <v>0.13099063233073688</v>
      </c>
      <c r="O22" s="130">
        <v>7.1760650241943238E-2</v>
      </c>
      <c r="Q22" s="39">
        <f>Q11/Q3</f>
        <v>0.18442471328153912</v>
      </c>
      <c r="R22" s="39">
        <f>R11/R3</f>
        <v>9.3164376227021103E-2</v>
      </c>
      <c r="S22" s="39">
        <f>S11/S3</f>
        <v>3.8601859479816467E-2</v>
      </c>
      <c r="T22" s="68">
        <f>T11/T3</f>
        <v>8.8766452402816096E-2</v>
      </c>
      <c r="U22" s="103">
        <f>U11/U3</f>
        <v>0.1051168248137946</v>
      </c>
      <c r="V22" s="39">
        <f t="shared" ref="V22:X22" si="47">V11/V3</f>
        <v>0.12557613342245394</v>
      </c>
      <c r="W22" s="39">
        <f t="shared" si="47"/>
        <v>0.14523503414002814</v>
      </c>
      <c r="X22" s="39">
        <f t="shared" si="47"/>
        <v>0.15004848993938155</v>
      </c>
      <c r="Y22" s="39">
        <f t="shared" ref="Y22:AH22" si="48">Y11/Y3</f>
        <v>0.15481610330255055</v>
      </c>
      <c r="Z22" s="39">
        <f t="shared" si="48"/>
        <v>0.15953831082416564</v>
      </c>
      <c r="AA22" s="39">
        <f t="shared" si="48"/>
        <v>0.16421554494081295</v>
      </c>
      <c r="AB22" s="39">
        <f t="shared" si="48"/>
        <v>0.16884823397063517</v>
      </c>
      <c r="AC22" s="39">
        <f t="shared" si="48"/>
        <v>0.17343680215255414</v>
      </c>
      <c r="AD22" s="39">
        <f t="shared" si="48"/>
        <v>0.17798166968512172</v>
      </c>
      <c r="AE22" s="39">
        <f t="shared" si="48"/>
        <v>0.18248325276499805</v>
      </c>
      <c r="AF22" s="39">
        <f t="shared" si="48"/>
        <v>0.1869419636250659</v>
      </c>
      <c r="AG22" s="39">
        <f t="shared" si="48"/>
        <v>0.19135821057218086</v>
      </c>
      <c r="AH22" s="39">
        <f t="shared" si="48"/>
        <v>0.19573239802456138</v>
      </c>
      <c r="AK22" s="72" t="s">
        <v>122</v>
      </c>
      <c r="AL22" s="65">
        <f>NPV(AL21,U17:CH17)</f>
        <v>3217.2177896328553</v>
      </c>
    </row>
    <row r="23" spans="2:86" x14ac:dyDescent="0.25">
      <c r="B23" t="s">
        <v>68</v>
      </c>
      <c r="C23" s="39">
        <f t="shared" ref="C23:J23" si="49">C17/C3</f>
        <v>0.19513913349771045</v>
      </c>
      <c r="D23" s="52">
        <f t="shared" si="49"/>
        <v>0.15348656018698892</v>
      </c>
      <c r="E23" s="39">
        <f t="shared" si="49"/>
        <v>7.1042192571222587E-2</v>
      </c>
      <c r="F23" s="52">
        <f t="shared" si="49"/>
        <v>7.8798586572437893E-2</v>
      </c>
      <c r="G23" s="39">
        <f t="shared" si="49"/>
        <v>0.12002110261144826</v>
      </c>
      <c r="H23" s="52">
        <f t="shared" si="49"/>
        <v>-7.2248193795155152E-2</v>
      </c>
      <c r="I23" s="39">
        <f t="shared" si="49"/>
        <v>9.5950037850113482E-2</v>
      </c>
      <c r="J23" s="52">
        <f t="shared" si="49"/>
        <v>4.0292229355767303E-2</v>
      </c>
      <c r="K23" s="39">
        <f>K17/K3</f>
        <v>3.6133694670280075E-2</v>
      </c>
      <c r="L23" s="52">
        <f>L17/L3</f>
        <v>0.10999756534641586</v>
      </c>
      <c r="O23" s="130">
        <v>4.7900692621525139E-2</v>
      </c>
      <c r="Q23" s="39">
        <f>Q17/Q3</f>
        <v>0.17536071032186465</v>
      </c>
      <c r="R23" s="39">
        <f>R17/R3</f>
        <v>7.4245939675173858E-2</v>
      </c>
      <c r="S23" s="39">
        <f>S17/S3</f>
        <v>1.3298811345180713E-2</v>
      </c>
      <c r="T23" s="39">
        <f>T17/T3</f>
        <v>7.0298949086827919E-2</v>
      </c>
      <c r="U23" s="103">
        <f>U17/U3</f>
        <v>8.7650910256970957E-2</v>
      </c>
      <c r="V23" s="39">
        <f t="shared" ref="V23:X23" si="50">V17/V3</f>
        <v>0.10869585256814711</v>
      </c>
      <c r="W23" s="39">
        <f t="shared" si="50"/>
        <v>0.1288776405201113</v>
      </c>
      <c r="X23" s="39">
        <f t="shared" si="50"/>
        <v>0.13389859125374648</v>
      </c>
      <c r="Y23" s="39">
        <f t="shared" ref="Y23:AH23" si="51">Y17/Y3</f>
        <v>0.13886381884004095</v>
      </c>
      <c r="Z23" s="39">
        <f t="shared" si="51"/>
        <v>0.14377423038368034</v>
      </c>
      <c r="AA23" s="39">
        <f t="shared" si="51"/>
        <v>0.14863070642606505</v>
      </c>
      <c r="AB23" s="39">
        <f t="shared" si="51"/>
        <v>0.15343410205182761</v>
      </c>
      <c r="AC23" s="39">
        <f t="shared" si="51"/>
        <v>0.158185247944166</v>
      </c>
      <c r="AD23" s="39">
        <f t="shared" si="51"/>
        <v>0.16288495139141873</v>
      </c>
      <c r="AE23" s="39">
        <f t="shared" si="51"/>
        <v>0.16753399724718568</v>
      </c>
      <c r="AF23" s="39">
        <f t="shared" si="51"/>
        <v>0.17213314884619696</v>
      </c>
      <c r="AG23" s="39">
        <f t="shared" si="51"/>
        <v>0.17668314887802</v>
      </c>
      <c r="AH23" s="39">
        <f t="shared" si="51"/>
        <v>0.18118472022059864</v>
      </c>
      <c r="AK23" s="72" t="s">
        <v>5</v>
      </c>
      <c r="AL23" s="66">
        <v>255.6</v>
      </c>
    </row>
    <row r="24" spans="2:86" x14ac:dyDescent="0.25">
      <c r="B24" t="s">
        <v>67</v>
      </c>
      <c r="C24" s="39">
        <f t="shared" ref="C24:J24" si="52">C16/C15</f>
        <v>7.8202995008319481E-2</v>
      </c>
      <c r="D24" s="52">
        <f t="shared" si="52"/>
        <v>0.18930041152263347</v>
      </c>
      <c r="E24" s="39">
        <f t="shared" si="52"/>
        <v>0.11261261261261249</v>
      </c>
      <c r="F24" s="52">
        <f t="shared" si="52"/>
        <v>5.1063829787234227E-2</v>
      </c>
      <c r="G24" s="39">
        <f t="shared" si="52"/>
        <v>0.10609037328094297</v>
      </c>
      <c r="H24" s="52">
        <f t="shared" si="52"/>
        <v>-0.41666666666666635</v>
      </c>
      <c r="I24" s="39">
        <f t="shared" si="52"/>
        <v>0.1243523316062177</v>
      </c>
      <c r="J24" s="52">
        <f t="shared" si="52"/>
        <v>0.22222222222222138</v>
      </c>
      <c r="K24" s="39">
        <f>K16/K15</f>
        <v>0.16666666666666649</v>
      </c>
      <c r="L24" s="52">
        <f>L16/L15</f>
        <v>0.11340952541373631</v>
      </c>
      <c r="O24" s="130">
        <v>0.20033157338965119</v>
      </c>
      <c r="Q24" s="39">
        <f t="shared" ref="Q24:AH24" si="53">Q16/Q15</f>
        <v>0.12787488500459976</v>
      </c>
      <c r="R24" s="39">
        <f t="shared" si="53"/>
        <v>8.1677704194260653E-2</v>
      </c>
      <c r="S24" s="39">
        <f t="shared" si="53"/>
        <v>0.57677902621722732</v>
      </c>
      <c r="T24" s="39">
        <f t="shared" si="53"/>
        <v>0.15252152521525206</v>
      </c>
      <c r="U24" s="103">
        <f>U16/U15</f>
        <v>0.12042037517826441</v>
      </c>
      <c r="V24" s="39">
        <f t="shared" si="53"/>
        <v>9.9423466048467399E-2</v>
      </c>
      <c r="W24" s="39">
        <f t="shared" si="53"/>
        <v>8.518030225163313E-2</v>
      </c>
      <c r="X24" s="39">
        <f t="shared" si="53"/>
        <v>8.2248909306667867E-2</v>
      </c>
      <c r="Y24" s="39">
        <f t="shared" si="53"/>
        <v>7.9541934522573965E-2</v>
      </c>
      <c r="Z24" s="39">
        <f t="shared" si="53"/>
        <v>7.7034564513291784E-2</v>
      </c>
      <c r="AA24" s="39">
        <f t="shared" si="53"/>
        <v>7.4705517189039755E-2</v>
      </c>
      <c r="AB24" s="39">
        <f t="shared" si="53"/>
        <v>7.2536435058840582E-2</v>
      </c>
      <c r="AC24" s="39">
        <f t="shared" si="53"/>
        <v>7.0511399460057383E-2</v>
      </c>
      <c r="AD24" s="39">
        <f t="shared" si="53"/>
        <v>6.8616538498742538E-2</v>
      </c>
      <c r="AE24" s="39">
        <f t="shared" si="53"/>
        <v>6.6839708266942785E-2</v>
      </c>
      <c r="AF24" s="39">
        <f t="shared" si="53"/>
        <v>6.5170231841434362E-2</v>
      </c>
      <c r="AG24" s="39">
        <f t="shared" si="53"/>
        <v>6.3598684203419603E-2</v>
      </c>
      <c r="AH24" s="39">
        <f t="shared" si="53"/>
        <v>6.2116713921769477E-2</v>
      </c>
      <c r="AK24" s="72" t="s">
        <v>123</v>
      </c>
      <c r="AL24" s="65">
        <f>AL22+AL23</f>
        <v>3472.8177896328552</v>
      </c>
    </row>
    <row r="25" spans="2:86" x14ac:dyDescent="0.25">
      <c r="D25" s="37"/>
      <c r="F25" s="37"/>
      <c r="H25" s="37"/>
      <c r="J25" s="37"/>
      <c r="L25" s="37"/>
      <c r="O25" s="129"/>
      <c r="AK25" s="73" t="s">
        <v>124</v>
      </c>
      <c r="AL25" s="66">
        <f>AL24/Main!C7</f>
        <v>8.5344980239643178</v>
      </c>
    </row>
    <row r="26" spans="2:86" x14ac:dyDescent="0.25">
      <c r="B26" s="25" t="s">
        <v>65</v>
      </c>
      <c r="C26" s="93" t="s">
        <v>148</v>
      </c>
      <c r="D26" s="94" t="s">
        <v>148</v>
      </c>
      <c r="E26" s="44">
        <f t="shared" ref="E26:K26" si="54">E3/C3-1</f>
        <v>-2.3247622402254198E-2</v>
      </c>
      <c r="F26" s="56">
        <f t="shared" si="54"/>
        <v>0.10245422672380178</v>
      </c>
      <c r="G26" s="44">
        <f t="shared" si="54"/>
        <v>0.36711143166245952</v>
      </c>
      <c r="H26" s="56">
        <f t="shared" si="54"/>
        <v>0.66289752650176714</v>
      </c>
      <c r="I26" s="44">
        <f t="shared" si="54"/>
        <v>0.39382748615141105</v>
      </c>
      <c r="J26" s="56">
        <f t="shared" si="54"/>
        <v>-4.0161495962600879E-2</v>
      </c>
      <c r="K26" s="44">
        <f t="shared" si="54"/>
        <v>-0.37149886449659342</v>
      </c>
      <c r="L26" s="56">
        <f>L3/J3-1</f>
        <v>0.69495682975426187</v>
      </c>
      <c r="M26" s="25"/>
      <c r="N26" s="25"/>
      <c r="O26" s="131">
        <v>-4.257380772142294E-2</v>
      </c>
      <c r="P26" s="25"/>
      <c r="Q26" s="31" t="s">
        <v>148</v>
      </c>
      <c r="R26" s="44">
        <f>R3/Q3-1</f>
        <v>3.6440991490935826E-2</v>
      </c>
      <c r="S26" s="44">
        <f>S3/R3-1</f>
        <v>0.51650901302873486</v>
      </c>
      <c r="T26" s="44">
        <f>T3/S3-1</f>
        <v>0.15346592915146529</v>
      </c>
      <c r="U26" s="104">
        <f>U3/T3-1</f>
        <v>0.12000000000000011</v>
      </c>
      <c r="V26" s="44">
        <f t="shared" ref="V26:X26" si="55">V3/U3-1</f>
        <v>0.12000000000000011</v>
      </c>
      <c r="W26" s="44">
        <f t="shared" si="55"/>
        <v>0.12000000000000011</v>
      </c>
      <c r="X26" s="44">
        <f t="shared" si="55"/>
        <v>5.0000000000000044E-2</v>
      </c>
      <c r="Y26" s="44">
        <f t="shared" ref="Y26" si="56">Y3/X3-1</f>
        <v>5.0000000000000044E-2</v>
      </c>
      <c r="Z26" s="44">
        <f t="shared" ref="Z26" si="57">Z3/Y3-1</f>
        <v>5.0000000000000044E-2</v>
      </c>
      <c r="AA26" s="44">
        <f t="shared" ref="AA26" si="58">AA3/Z3-1</f>
        <v>5.0000000000000044E-2</v>
      </c>
      <c r="AB26" s="44">
        <f t="shared" ref="AB26" si="59">AB3/AA3-1</f>
        <v>5.0000000000000044E-2</v>
      </c>
      <c r="AC26" s="44">
        <f t="shared" ref="AC26" si="60">AC3/AB3-1</f>
        <v>5.0000000000000044E-2</v>
      </c>
      <c r="AD26" s="44">
        <f t="shared" ref="AD26" si="61">AD3/AC3-1</f>
        <v>5.0000000000000044E-2</v>
      </c>
      <c r="AE26" s="44">
        <f t="shared" ref="AE26" si="62">AE3/AD3-1</f>
        <v>5.0000000000000044E-2</v>
      </c>
      <c r="AF26" s="44">
        <f t="shared" ref="AF26" si="63">AF3/AE3-1</f>
        <v>5.0000000000000044E-2</v>
      </c>
      <c r="AG26" s="44">
        <f t="shared" ref="AG26" si="64">AG3/AF3-1</f>
        <v>5.0000000000000044E-2</v>
      </c>
      <c r="AH26" s="44">
        <f t="shared" ref="AH26" si="65">AH3/AG3-1</f>
        <v>5.0000000000000044E-2</v>
      </c>
      <c r="AK26" s="72" t="s">
        <v>125</v>
      </c>
      <c r="AL26" s="66">
        <f>Main!C6</f>
        <v>0.78</v>
      </c>
    </row>
    <row r="27" spans="2:86" x14ac:dyDescent="0.25">
      <c r="B27" s="36" t="s">
        <v>66</v>
      </c>
      <c r="C27" s="93" t="s">
        <v>148</v>
      </c>
      <c r="D27" s="52">
        <f t="shared" ref="D27:K27" si="66">D3/C3-1</f>
        <v>-9.580838323353269E-2</v>
      </c>
      <c r="E27" s="54">
        <f t="shared" si="66"/>
        <v>8.0249318270354308E-2</v>
      </c>
      <c r="F27" s="52">
        <f t="shared" si="66"/>
        <v>2.0555355210962523E-2</v>
      </c>
      <c r="G27" s="54">
        <f t="shared" si="66"/>
        <v>0.33957597173144904</v>
      </c>
      <c r="H27" s="52">
        <f t="shared" si="66"/>
        <v>0.2413611184384068</v>
      </c>
      <c r="I27" s="54">
        <f t="shared" si="66"/>
        <v>0.12282192945176362</v>
      </c>
      <c r="J27" s="52">
        <f t="shared" si="66"/>
        <v>-0.14515518546555628</v>
      </c>
      <c r="K27" s="54">
        <f t="shared" si="66"/>
        <v>-0.26477750719504101</v>
      </c>
      <c r="L27" s="52">
        <f>L3/K3-1</f>
        <v>1.3053658536585369</v>
      </c>
      <c r="O27" s="132">
        <v>0.12000000000000011</v>
      </c>
      <c r="Q27" s="31" t="s">
        <v>148</v>
      </c>
      <c r="R27" s="31" t="s">
        <v>148</v>
      </c>
      <c r="S27" s="31" t="s">
        <v>148</v>
      </c>
      <c r="T27" s="31" t="s">
        <v>148</v>
      </c>
      <c r="AK27" s="74" t="s">
        <v>126</v>
      </c>
      <c r="AL27" s="67">
        <f>AL25/AL26-1</f>
        <v>9.9416641332875866</v>
      </c>
    </row>
    <row r="28" spans="2:86" x14ac:dyDescent="0.25">
      <c r="B28" s="36"/>
      <c r="C28" s="54"/>
      <c r="D28" s="52"/>
      <c r="E28" s="54"/>
      <c r="F28" s="52"/>
      <c r="G28" s="54"/>
      <c r="H28" s="52"/>
      <c r="I28" s="54"/>
      <c r="J28" s="52"/>
      <c r="L28" s="32"/>
    </row>
    <row r="29" spans="2:86" x14ac:dyDescent="0.25">
      <c r="B29" s="36" t="s">
        <v>133</v>
      </c>
      <c r="C29" s="75">
        <v>1.3208</v>
      </c>
      <c r="D29" s="76">
        <v>1.2694000000000001</v>
      </c>
      <c r="E29" s="75">
        <v>1.2677</v>
      </c>
      <c r="F29" s="76">
        <v>1.3112999999999999</v>
      </c>
      <c r="G29" s="75">
        <v>1.2311000000000001</v>
      </c>
      <c r="H29" s="76">
        <v>1.3631</v>
      </c>
      <c r="I29" s="75">
        <v>1.3843000000000001</v>
      </c>
      <c r="J29" s="76">
        <v>1.3498000000000001</v>
      </c>
      <c r="K29" s="75">
        <v>1.2132000000000001</v>
      </c>
      <c r="L29" s="32"/>
      <c r="Q29">
        <v>1.2694000000000001</v>
      </c>
      <c r="R29">
        <v>1.3112999999999999</v>
      </c>
      <c r="S29">
        <v>1.3631</v>
      </c>
      <c r="T29">
        <v>1.3498000000000001</v>
      </c>
    </row>
    <row r="30" spans="2:86" x14ac:dyDescent="0.25">
      <c r="B30" s="36" t="s">
        <v>157</v>
      </c>
      <c r="C30" s="93" t="s">
        <v>148</v>
      </c>
      <c r="D30" s="52">
        <f t="shared" ref="D30:K30" si="67">D29/C29-1</f>
        <v>-3.8915808600847868E-2</v>
      </c>
      <c r="E30" s="39">
        <f t="shared" si="67"/>
        <v>-1.3392153773436055E-3</v>
      </c>
      <c r="F30" s="52">
        <f t="shared" si="67"/>
        <v>3.4392995188135878E-2</v>
      </c>
      <c r="G30" s="39">
        <f t="shared" si="67"/>
        <v>-6.116068024098209E-2</v>
      </c>
      <c r="H30" s="52">
        <f t="shared" si="67"/>
        <v>0.10722118430671745</v>
      </c>
      <c r="I30" s="39">
        <f t="shared" si="67"/>
        <v>1.5552784095077543E-2</v>
      </c>
      <c r="J30" s="52">
        <f>J29/I29-1</f>
        <v>-2.4922343422668525E-2</v>
      </c>
      <c r="K30" s="39">
        <f t="shared" si="67"/>
        <v>-0.10120017780411916</v>
      </c>
      <c r="L30" s="32"/>
      <c r="Q30" s="93" t="s">
        <v>148</v>
      </c>
      <c r="R30" s="39">
        <f t="shared" ref="R30:S30" si="68">R29/Q29-1</f>
        <v>3.3007720182763434E-2</v>
      </c>
      <c r="S30" s="39">
        <f t="shared" si="68"/>
        <v>3.9502783497292748E-2</v>
      </c>
      <c r="T30" s="39">
        <f>T29/S29-1</f>
        <v>-9.7571711539871098E-3</v>
      </c>
    </row>
    <row r="31" spans="2:86" x14ac:dyDescent="0.25">
      <c r="D31" s="32"/>
      <c r="F31" s="32"/>
      <c r="H31" s="59"/>
      <c r="J31" s="32"/>
      <c r="L31" s="32"/>
    </row>
    <row r="32" spans="2:86" x14ac:dyDescent="0.25">
      <c r="B32" s="41" t="s">
        <v>87</v>
      </c>
      <c r="D32" s="32"/>
      <c r="F32" s="32"/>
      <c r="H32" s="59"/>
      <c r="J32" s="32"/>
      <c r="L32" s="32"/>
    </row>
    <row r="33" spans="2:21" x14ac:dyDescent="0.25">
      <c r="B33" s="36" t="s">
        <v>89</v>
      </c>
      <c r="C33">
        <v>160.19999999999999</v>
      </c>
      <c r="D33" s="32">
        <f t="shared" ref="D33:D38" si="69">Q33</f>
        <v>200.3</v>
      </c>
      <c r="E33">
        <v>242</v>
      </c>
      <c r="F33" s="32">
        <f t="shared" ref="F33:F38" si="70">R33</f>
        <v>240.4</v>
      </c>
      <c r="G33">
        <v>241.5</v>
      </c>
      <c r="H33" s="59">
        <f t="shared" ref="H33:H38" si="71">S33</f>
        <v>164.3</v>
      </c>
      <c r="I33">
        <v>167</v>
      </c>
      <c r="J33" s="32">
        <f t="shared" ref="J33:J38" si="72">T33</f>
        <v>167.2</v>
      </c>
      <c r="K33">
        <v>92.5</v>
      </c>
      <c r="L33" s="32"/>
      <c r="Q33">
        <v>200.3</v>
      </c>
      <c r="R33">
        <v>240.4</v>
      </c>
      <c r="S33">
        <v>164.3</v>
      </c>
      <c r="T33">
        <v>167.2</v>
      </c>
    </row>
    <row r="34" spans="2:21" x14ac:dyDescent="0.25">
      <c r="B34" s="36" t="s">
        <v>90</v>
      </c>
      <c r="C34">
        <v>0</v>
      </c>
      <c r="D34" s="32">
        <f t="shared" si="69"/>
        <v>0</v>
      </c>
      <c r="E34">
        <v>26.1</v>
      </c>
      <c r="F34" s="32">
        <f t="shared" si="70"/>
        <v>33.299999999999997</v>
      </c>
      <c r="G34">
        <v>31.6</v>
      </c>
      <c r="H34" s="59">
        <f t="shared" si="71"/>
        <v>28.5</v>
      </c>
      <c r="I34">
        <v>27.8</v>
      </c>
      <c r="J34" s="32">
        <f t="shared" si="72"/>
        <v>25.3</v>
      </c>
      <c r="K34">
        <v>16.3</v>
      </c>
      <c r="L34" s="32"/>
      <c r="Q34">
        <v>0</v>
      </c>
      <c r="R34">
        <v>33.299999999999997</v>
      </c>
      <c r="S34">
        <v>28.5</v>
      </c>
      <c r="T34">
        <v>25.3</v>
      </c>
    </row>
    <row r="35" spans="2:21" x14ac:dyDescent="0.25">
      <c r="B35" s="36" t="s">
        <v>91</v>
      </c>
      <c r="C35">
        <v>8.4</v>
      </c>
      <c r="D35" s="32">
        <f t="shared" si="69"/>
        <v>11</v>
      </c>
      <c r="E35">
        <v>13.4</v>
      </c>
      <c r="F35" s="32">
        <f t="shared" si="70"/>
        <v>13</v>
      </c>
      <c r="G35">
        <v>15.5</v>
      </c>
      <c r="H35" s="59">
        <f t="shared" si="71"/>
        <v>15.1</v>
      </c>
      <c r="I35">
        <v>15</v>
      </c>
      <c r="J35" s="32">
        <f t="shared" si="72"/>
        <v>12.6</v>
      </c>
      <c r="K35">
        <v>11.3</v>
      </c>
      <c r="L35" s="32"/>
      <c r="Q35">
        <v>11</v>
      </c>
      <c r="R35">
        <v>13</v>
      </c>
      <c r="S35">
        <v>15.1</v>
      </c>
      <c r="T35">
        <v>12.6</v>
      </c>
    </row>
    <row r="36" spans="2:21" x14ac:dyDescent="0.25">
      <c r="B36" s="36" t="s">
        <v>111</v>
      </c>
      <c r="C36">
        <v>1.2</v>
      </c>
      <c r="D36" s="32">
        <f t="shared" si="69"/>
        <v>1.1000000000000001</v>
      </c>
      <c r="E36">
        <v>1.1000000000000001</v>
      </c>
      <c r="F36" s="32">
        <f t="shared" si="70"/>
        <v>0.6</v>
      </c>
      <c r="G36">
        <v>0.2</v>
      </c>
      <c r="H36" s="59">
        <f t="shared" si="71"/>
        <v>0</v>
      </c>
      <c r="I36">
        <v>0</v>
      </c>
      <c r="J36" s="32">
        <f t="shared" si="72"/>
        <v>0</v>
      </c>
      <c r="K36">
        <v>0</v>
      </c>
      <c r="L36" s="32"/>
      <c r="Q36">
        <v>1.1000000000000001</v>
      </c>
      <c r="R36">
        <v>0.6</v>
      </c>
      <c r="S36">
        <v>0</v>
      </c>
      <c r="T36">
        <v>0</v>
      </c>
    </row>
    <row r="37" spans="2:21" x14ac:dyDescent="0.25">
      <c r="B37" s="36" t="s">
        <v>92</v>
      </c>
      <c r="C37">
        <v>0.7</v>
      </c>
      <c r="D37" s="32">
        <f t="shared" si="69"/>
        <v>0.8</v>
      </c>
      <c r="E37">
        <v>0.8</v>
      </c>
      <c r="F37" s="32">
        <f t="shared" si="70"/>
        <v>0.9</v>
      </c>
      <c r="G37">
        <v>0.6</v>
      </c>
      <c r="H37" s="59">
        <f t="shared" si="71"/>
        <v>0.6</v>
      </c>
      <c r="I37">
        <v>0.5</v>
      </c>
      <c r="J37" s="32">
        <f t="shared" si="72"/>
        <v>7.8</v>
      </c>
      <c r="K37">
        <v>5.2</v>
      </c>
      <c r="L37" s="32"/>
      <c r="Q37">
        <v>0.8</v>
      </c>
      <c r="R37">
        <v>0.9</v>
      </c>
      <c r="S37">
        <v>0.6</v>
      </c>
      <c r="T37">
        <v>7.8</v>
      </c>
    </row>
    <row r="38" spans="2:21" x14ac:dyDescent="0.25">
      <c r="B38" s="36" t="s">
        <v>93</v>
      </c>
      <c r="C38">
        <v>1.6</v>
      </c>
      <c r="D38" s="32">
        <f t="shared" si="69"/>
        <v>1.4</v>
      </c>
      <c r="E38">
        <v>1.8</v>
      </c>
      <c r="F38" s="32">
        <f t="shared" si="70"/>
        <v>2.8</v>
      </c>
      <c r="G38">
        <v>3</v>
      </c>
      <c r="H38" s="59">
        <f t="shared" si="71"/>
        <v>3.6</v>
      </c>
      <c r="I38">
        <v>3.3</v>
      </c>
      <c r="J38" s="32">
        <f t="shared" si="72"/>
        <v>3</v>
      </c>
      <c r="K38">
        <v>2.5</v>
      </c>
      <c r="L38" s="32"/>
      <c r="Q38">
        <v>1.4</v>
      </c>
      <c r="R38">
        <v>2.8</v>
      </c>
      <c r="S38">
        <v>3.6</v>
      </c>
      <c r="T38">
        <v>3</v>
      </c>
    </row>
    <row r="39" spans="2:21" x14ac:dyDescent="0.25">
      <c r="B39" t="s">
        <v>88</v>
      </c>
      <c r="C39">
        <f t="shared" ref="C39:K39" si="73">SUM(C33:C38)</f>
        <v>172.09999999999997</v>
      </c>
      <c r="D39" s="32">
        <f t="shared" si="73"/>
        <v>214.60000000000002</v>
      </c>
      <c r="E39">
        <f t="shared" si="73"/>
        <v>285.20000000000005</v>
      </c>
      <c r="F39" s="32">
        <f t="shared" si="73"/>
        <v>291</v>
      </c>
      <c r="G39">
        <f t="shared" si="73"/>
        <v>292.40000000000003</v>
      </c>
      <c r="H39" s="32">
        <f t="shared" si="73"/>
        <v>212.1</v>
      </c>
      <c r="I39">
        <f t="shared" si="73"/>
        <v>213.60000000000002</v>
      </c>
      <c r="J39" s="32">
        <f t="shared" si="73"/>
        <v>215.9</v>
      </c>
      <c r="K39">
        <f t="shared" si="73"/>
        <v>127.8</v>
      </c>
      <c r="L39" s="32"/>
      <c r="Q39">
        <f>SUM(Q33:Q38)</f>
        <v>214.60000000000002</v>
      </c>
      <c r="R39">
        <f>SUM(R33:R38)</f>
        <v>291</v>
      </c>
      <c r="S39">
        <f>SUM(S33:S38)</f>
        <v>212.1</v>
      </c>
      <c r="T39">
        <f>SUM(T33:T38)</f>
        <v>215.9</v>
      </c>
    </row>
    <row r="40" spans="2:21" x14ac:dyDescent="0.25">
      <c r="B40" s="25" t="s">
        <v>3</v>
      </c>
      <c r="C40" s="25">
        <v>143.6</v>
      </c>
      <c r="D40" s="33">
        <f>Q40</f>
        <v>133</v>
      </c>
      <c r="E40" s="25">
        <v>111</v>
      </c>
      <c r="F40" s="33">
        <f>R40</f>
        <v>99.5</v>
      </c>
      <c r="G40" s="25">
        <v>141.30000000000001</v>
      </c>
      <c r="H40" s="60">
        <f>S40</f>
        <v>222.2</v>
      </c>
      <c r="I40" s="25">
        <v>192.9</v>
      </c>
      <c r="J40" s="33">
        <f>T40</f>
        <v>255.6</v>
      </c>
      <c r="K40" s="25">
        <v>299.5</v>
      </c>
      <c r="L40" s="33"/>
      <c r="M40" s="25"/>
      <c r="N40" s="25"/>
      <c r="O40" s="25"/>
      <c r="P40" s="25"/>
      <c r="Q40" s="25">
        <v>133</v>
      </c>
      <c r="R40" s="25">
        <v>99.5</v>
      </c>
      <c r="S40" s="25">
        <v>222.2</v>
      </c>
      <c r="T40" s="25">
        <v>255.6</v>
      </c>
    </row>
    <row r="41" spans="2:21" x14ac:dyDescent="0.25">
      <c r="B41" t="s">
        <v>94</v>
      </c>
      <c r="C41">
        <v>44.5</v>
      </c>
      <c r="D41" s="32">
        <f>Q41</f>
        <v>33</v>
      </c>
      <c r="E41">
        <v>43.8</v>
      </c>
      <c r="F41" s="32">
        <f>R41</f>
        <v>42.6</v>
      </c>
      <c r="G41">
        <v>61.9</v>
      </c>
      <c r="H41" s="59">
        <f>S41</f>
        <v>52.4</v>
      </c>
      <c r="I41">
        <v>98.4</v>
      </c>
      <c r="J41" s="32">
        <f>T41</f>
        <v>68.5</v>
      </c>
      <c r="K41">
        <v>63.4</v>
      </c>
      <c r="L41" s="32"/>
      <c r="Q41">
        <v>33</v>
      </c>
      <c r="R41">
        <v>42.6</v>
      </c>
      <c r="S41">
        <v>52.4</v>
      </c>
      <c r="T41">
        <v>68.5</v>
      </c>
    </row>
    <row r="42" spans="2:21" x14ac:dyDescent="0.25">
      <c r="B42" t="s">
        <v>181</v>
      </c>
      <c r="C42">
        <v>0</v>
      </c>
      <c r="D42" s="32">
        <v>0</v>
      </c>
      <c r="E42">
        <v>0</v>
      </c>
      <c r="F42" s="32">
        <v>0</v>
      </c>
      <c r="G42">
        <v>0</v>
      </c>
      <c r="H42" s="59">
        <v>0</v>
      </c>
      <c r="I42">
        <v>0</v>
      </c>
      <c r="J42" s="32">
        <v>0</v>
      </c>
      <c r="K42">
        <v>39.200000000000003</v>
      </c>
      <c r="L42" s="32"/>
      <c r="Q42">
        <v>0</v>
      </c>
      <c r="R42">
        <v>0</v>
      </c>
      <c r="S42">
        <v>0</v>
      </c>
      <c r="T42">
        <v>0</v>
      </c>
    </row>
    <row r="43" spans="2:21" x14ac:dyDescent="0.25">
      <c r="B43" t="s">
        <v>95</v>
      </c>
      <c r="C43">
        <f>C41+C40+C39+C42</f>
        <v>360.19999999999993</v>
      </c>
      <c r="D43" s="32">
        <f t="shared" ref="D43:H43" si="74">D41+D40+D39</f>
        <v>380.6</v>
      </c>
      <c r="E43" s="137">
        <f>E41+E40+E39+E42</f>
        <v>440.00000000000006</v>
      </c>
      <c r="F43" s="32">
        <f t="shared" si="74"/>
        <v>433.1</v>
      </c>
      <c r="G43">
        <f>G41+G40+G39+G42</f>
        <v>495.6</v>
      </c>
      <c r="H43" s="59">
        <f t="shared" si="74"/>
        <v>486.69999999999993</v>
      </c>
      <c r="I43">
        <f>I41+I40+I39+I42</f>
        <v>504.90000000000003</v>
      </c>
      <c r="J43" s="135">
        <f>T43</f>
        <v>540</v>
      </c>
      <c r="K43">
        <f>K41+K40+K39+K42</f>
        <v>529.9</v>
      </c>
      <c r="L43" s="32"/>
      <c r="Q43">
        <f>Q41+Q40+Q39+Q42</f>
        <v>380.6</v>
      </c>
      <c r="R43">
        <f t="shared" ref="R43:T43" si="75">R41+R40+R39+R42</f>
        <v>433.1</v>
      </c>
      <c r="S43">
        <f t="shared" si="75"/>
        <v>486.69999999999993</v>
      </c>
      <c r="T43">
        <f t="shared" si="75"/>
        <v>540</v>
      </c>
    </row>
    <row r="44" spans="2:21" x14ac:dyDescent="0.25">
      <c r="D44" s="32"/>
      <c r="F44" s="32"/>
      <c r="H44" s="59"/>
      <c r="J44" s="32"/>
      <c r="L44" s="32"/>
    </row>
    <row r="45" spans="2:21" x14ac:dyDescent="0.25">
      <c r="B45" t="s">
        <v>96</v>
      </c>
      <c r="C45">
        <v>0</v>
      </c>
      <c r="D45" s="32">
        <f>Q45</f>
        <v>0</v>
      </c>
      <c r="E45">
        <v>0</v>
      </c>
      <c r="F45" s="32">
        <f>R45</f>
        <v>0</v>
      </c>
      <c r="G45">
        <v>0</v>
      </c>
      <c r="H45" s="59">
        <f>S45</f>
        <v>7.4</v>
      </c>
      <c r="I45">
        <v>5.9</v>
      </c>
      <c r="J45" s="32">
        <f>T45</f>
        <v>5</v>
      </c>
      <c r="K45">
        <v>2.2000000000000002</v>
      </c>
      <c r="L45" s="32"/>
      <c r="Q45">
        <v>0</v>
      </c>
      <c r="R45">
        <v>0</v>
      </c>
      <c r="S45">
        <v>7.4</v>
      </c>
      <c r="T45">
        <v>5</v>
      </c>
    </row>
    <row r="46" spans="2:21" x14ac:dyDescent="0.25">
      <c r="B46" t="s">
        <v>93</v>
      </c>
      <c r="C46">
        <v>0</v>
      </c>
      <c r="D46" s="32">
        <f>Q46</f>
        <v>2.2999999999999998</v>
      </c>
      <c r="E46">
        <v>0</v>
      </c>
      <c r="F46" s="32">
        <f>R46</f>
        <v>4</v>
      </c>
      <c r="G46">
        <v>3.6</v>
      </c>
      <c r="H46" s="59">
        <f>S46</f>
        <v>3.3</v>
      </c>
      <c r="I46">
        <v>2.8</v>
      </c>
      <c r="J46" s="32">
        <f>T46</f>
        <v>2.6</v>
      </c>
      <c r="K46">
        <v>1.5</v>
      </c>
      <c r="L46" s="32"/>
      <c r="Q46">
        <v>2.2999999999999998</v>
      </c>
      <c r="R46">
        <v>4</v>
      </c>
      <c r="S46">
        <v>3.3</v>
      </c>
      <c r="T46">
        <v>2.6</v>
      </c>
    </row>
    <row r="47" spans="2:21" x14ac:dyDescent="0.25">
      <c r="B47" t="s">
        <v>97</v>
      </c>
      <c r="C47">
        <v>0</v>
      </c>
      <c r="D47" s="32">
        <f>Q47</f>
        <v>0</v>
      </c>
      <c r="E47">
        <v>0</v>
      </c>
      <c r="F47" s="32">
        <f>R47</f>
        <v>0</v>
      </c>
      <c r="G47">
        <v>27.2</v>
      </c>
      <c r="H47" s="59">
        <f>S47</f>
        <v>26.7</v>
      </c>
      <c r="I47">
        <v>26</v>
      </c>
      <c r="J47" s="32">
        <f>T47</f>
        <v>24.4</v>
      </c>
      <c r="K47">
        <v>14.4</v>
      </c>
      <c r="L47" s="32"/>
      <c r="Q47">
        <v>0</v>
      </c>
      <c r="R47">
        <v>0</v>
      </c>
      <c r="S47">
        <v>26.7</v>
      </c>
      <c r="T47">
        <v>24.4</v>
      </c>
    </row>
    <row r="48" spans="2:21" s="25" customFormat="1" x14ac:dyDescent="0.25">
      <c r="B48" s="25" t="s">
        <v>110</v>
      </c>
      <c r="C48" s="25">
        <v>0</v>
      </c>
      <c r="D48" s="33">
        <f>Q48</f>
        <v>0</v>
      </c>
      <c r="E48" s="25">
        <v>21.6</v>
      </c>
      <c r="F48" s="33">
        <f>R48</f>
        <v>28.8</v>
      </c>
      <c r="G48" s="25">
        <v>0</v>
      </c>
      <c r="H48" s="60">
        <f>S48</f>
        <v>0</v>
      </c>
      <c r="I48" s="25">
        <v>0</v>
      </c>
      <c r="J48" s="33">
        <f>T48</f>
        <v>0</v>
      </c>
      <c r="K48" s="25">
        <v>0</v>
      </c>
      <c r="L48" s="33"/>
      <c r="Q48" s="25">
        <v>0</v>
      </c>
      <c r="R48" s="25">
        <v>28.8</v>
      </c>
      <c r="S48" s="25">
        <v>0</v>
      </c>
      <c r="T48" s="25">
        <v>0</v>
      </c>
      <c r="U48" s="105"/>
    </row>
    <row r="49" spans="2:21" x14ac:dyDescent="0.25">
      <c r="B49" t="s">
        <v>98</v>
      </c>
      <c r="C49">
        <f>SUM(C45:C48)</f>
        <v>0</v>
      </c>
      <c r="D49" s="32">
        <f>Q49</f>
        <v>2.2999999999999998</v>
      </c>
      <c r="E49">
        <f>SUM(E45:E48)</f>
        <v>21.6</v>
      </c>
      <c r="F49" s="32">
        <f>R49</f>
        <v>32.799999999999997</v>
      </c>
      <c r="G49">
        <f>SUM(G45:G48)</f>
        <v>30.8</v>
      </c>
      <c r="H49" s="59">
        <f>SUM(H45:H48)</f>
        <v>37.4</v>
      </c>
      <c r="I49">
        <f>SUM(I45:I48)</f>
        <v>34.700000000000003</v>
      </c>
      <c r="J49" s="135">
        <f>T49</f>
        <v>32</v>
      </c>
      <c r="K49">
        <f>SUM(K45:K48)</f>
        <v>18.100000000000001</v>
      </c>
      <c r="L49" s="32"/>
      <c r="Q49">
        <f>SUM(Q45:Q48)</f>
        <v>2.2999999999999998</v>
      </c>
      <c r="R49">
        <f>SUM(R45:R48)</f>
        <v>32.799999999999997</v>
      </c>
      <c r="S49">
        <f>SUM(S45:S48)</f>
        <v>37.4</v>
      </c>
      <c r="T49">
        <f>SUM(T45:T48)</f>
        <v>32</v>
      </c>
    </row>
    <row r="50" spans="2:21" x14ac:dyDescent="0.25">
      <c r="D50" s="32"/>
      <c r="F50" s="32"/>
      <c r="H50" s="59"/>
      <c r="J50" s="32"/>
      <c r="L50" s="32"/>
    </row>
    <row r="51" spans="2:21" x14ac:dyDescent="0.25">
      <c r="B51" t="s">
        <v>99</v>
      </c>
      <c r="C51">
        <v>125.6</v>
      </c>
      <c r="D51" s="32">
        <f t="shared" ref="D51:D59" si="76">Q51</f>
        <v>136</v>
      </c>
      <c r="E51">
        <v>140.5</v>
      </c>
      <c r="F51" s="32">
        <f t="shared" ref="F51:F59" si="77">R51</f>
        <v>130.9</v>
      </c>
      <c r="G51">
        <v>159.9</v>
      </c>
      <c r="H51" s="59">
        <f t="shared" ref="H51:H57" si="78">S51</f>
        <v>177.9</v>
      </c>
      <c r="I51">
        <v>176.4</v>
      </c>
      <c r="J51" s="32">
        <f t="shared" ref="J51:J59" si="79">T51</f>
        <v>196.1</v>
      </c>
      <c r="K51">
        <v>128.30000000000001</v>
      </c>
      <c r="L51" s="32"/>
      <c r="Q51">
        <v>136</v>
      </c>
      <c r="R51">
        <v>130.9</v>
      </c>
      <c r="S51">
        <v>177.9</v>
      </c>
      <c r="T51">
        <v>196.1</v>
      </c>
    </row>
    <row r="52" spans="2:21" x14ac:dyDescent="0.25">
      <c r="B52" t="s">
        <v>100</v>
      </c>
      <c r="C52">
        <v>28.3</v>
      </c>
      <c r="D52" s="32">
        <f t="shared" si="76"/>
        <v>11.3</v>
      </c>
      <c r="E52">
        <v>10.9</v>
      </c>
      <c r="F52" s="32">
        <f t="shared" si="77"/>
        <v>10.199999999999999</v>
      </c>
      <c r="G52">
        <v>14.4</v>
      </c>
      <c r="H52" s="59">
        <f t="shared" si="78"/>
        <v>19.3</v>
      </c>
      <c r="I52">
        <v>21.9</v>
      </c>
      <c r="J52" s="32">
        <f t="shared" si="79"/>
        <v>25.7</v>
      </c>
      <c r="K52">
        <v>8.5</v>
      </c>
      <c r="L52" s="32"/>
      <c r="Q52">
        <v>11.3</v>
      </c>
      <c r="R52">
        <v>10.199999999999999</v>
      </c>
      <c r="S52">
        <v>19.3</v>
      </c>
      <c r="T52">
        <v>25.7</v>
      </c>
    </row>
    <row r="53" spans="2:21" x14ac:dyDescent="0.25">
      <c r="B53" t="s">
        <v>101</v>
      </c>
      <c r="C53">
        <v>6</v>
      </c>
      <c r="D53" s="32">
        <f t="shared" si="76"/>
        <v>11.4</v>
      </c>
      <c r="E53">
        <f>11.4+4.1</f>
        <v>15.5</v>
      </c>
      <c r="F53" s="32">
        <f t="shared" si="77"/>
        <v>10.1</v>
      </c>
      <c r="G53">
        <v>13.2</v>
      </c>
      <c r="H53" s="59">
        <f t="shared" si="78"/>
        <v>20.7</v>
      </c>
      <c r="I53">
        <v>25</v>
      </c>
      <c r="J53" s="32">
        <f t="shared" si="79"/>
        <v>30.7</v>
      </c>
      <c r="K53">
        <v>2.1</v>
      </c>
      <c r="L53" s="32"/>
      <c r="Q53">
        <v>11.4</v>
      </c>
      <c r="R53">
        <v>10.1</v>
      </c>
      <c r="S53">
        <v>20.7</v>
      </c>
      <c r="T53">
        <v>30.7</v>
      </c>
    </row>
    <row r="54" spans="2:21" x14ac:dyDescent="0.25">
      <c r="B54" t="s">
        <v>97</v>
      </c>
      <c r="C54">
        <v>0</v>
      </c>
      <c r="D54" s="32">
        <f t="shared" si="76"/>
        <v>0</v>
      </c>
      <c r="E54">
        <v>0</v>
      </c>
      <c r="F54" s="32">
        <f t="shared" si="77"/>
        <v>0</v>
      </c>
      <c r="G54">
        <v>6.3</v>
      </c>
      <c r="H54" s="59">
        <f t="shared" si="78"/>
        <v>7</v>
      </c>
      <c r="I54">
        <v>6.9</v>
      </c>
      <c r="J54" s="32">
        <f t="shared" si="79"/>
        <v>6.5</v>
      </c>
      <c r="K54">
        <v>4.5999999999999996</v>
      </c>
      <c r="L54" s="32"/>
      <c r="Q54">
        <v>0</v>
      </c>
      <c r="R54">
        <v>0</v>
      </c>
      <c r="S54">
        <v>7</v>
      </c>
      <c r="T54">
        <v>6.5</v>
      </c>
    </row>
    <row r="55" spans="2:21" s="25" customFormat="1" x14ac:dyDescent="0.25">
      <c r="B55" s="25" t="s">
        <v>110</v>
      </c>
      <c r="C55" s="25">
        <v>0</v>
      </c>
      <c r="D55" s="33">
        <f t="shared" si="76"/>
        <v>0</v>
      </c>
      <c r="E55" s="25">
        <v>37.6</v>
      </c>
      <c r="F55" s="33">
        <f t="shared" si="77"/>
        <v>23.7</v>
      </c>
      <c r="G55" s="25">
        <v>0</v>
      </c>
      <c r="H55" s="60">
        <f t="shared" si="78"/>
        <v>0</v>
      </c>
      <c r="I55" s="25">
        <v>0</v>
      </c>
      <c r="J55" s="33">
        <f t="shared" si="79"/>
        <v>0</v>
      </c>
      <c r="K55" s="25">
        <v>0</v>
      </c>
      <c r="L55" s="33"/>
      <c r="Q55" s="25">
        <v>0</v>
      </c>
      <c r="R55" s="25">
        <v>23.7</v>
      </c>
      <c r="S55" s="25">
        <v>0</v>
      </c>
      <c r="T55" s="25">
        <v>0</v>
      </c>
      <c r="U55" s="105"/>
    </row>
    <row r="56" spans="2:21" x14ac:dyDescent="0.25">
      <c r="B56" t="s">
        <v>96</v>
      </c>
      <c r="C56">
        <v>2.9</v>
      </c>
      <c r="D56" s="32">
        <f t="shared" si="76"/>
        <v>2.2000000000000002</v>
      </c>
      <c r="E56">
        <v>4</v>
      </c>
      <c r="F56" s="32">
        <f t="shared" si="77"/>
        <v>6</v>
      </c>
      <c r="G56">
        <v>5.9</v>
      </c>
      <c r="H56" s="59">
        <f t="shared" si="78"/>
        <v>0</v>
      </c>
      <c r="I56">
        <v>0</v>
      </c>
      <c r="J56" s="32">
        <f t="shared" si="79"/>
        <v>0</v>
      </c>
      <c r="K56">
        <v>0</v>
      </c>
      <c r="L56" s="32"/>
      <c r="Q56">
        <v>2.2000000000000002</v>
      </c>
      <c r="R56">
        <v>6</v>
      </c>
      <c r="S56">
        <v>0</v>
      </c>
      <c r="T56">
        <v>0</v>
      </c>
    </row>
    <row r="57" spans="2:21" x14ac:dyDescent="0.25">
      <c r="B57" s="25" t="s">
        <v>102</v>
      </c>
      <c r="C57" s="25">
        <v>65.599999999999994</v>
      </c>
      <c r="D57" s="33">
        <f t="shared" si="76"/>
        <v>57.1</v>
      </c>
      <c r="E57" s="25">
        <v>57.4</v>
      </c>
      <c r="F57" s="33">
        <f t="shared" si="77"/>
        <v>54.7</v>
      </c>
      <c r="G57" s="25">
        <v>63.9</v>
      </c>
      <c r="H57" s="60">
        <f t="shared" si="78"/>
        <v>74</v>
      </c>
      <c r="I57" s="25">
        <v>78.5</v>
      </c>
      <c r="J57" s="33">
        <f t="shared" si="79"/>
        <v>81.099999999999994</v>
      </c>
      <c r="K57" s="25">
        <v>53.1</v>
      </c>
      <c r="L57" s="33"/>
      <c r="M57" s="25"/>
      <c r="N57" s="25"/>
      <c r="O57" s="25"/>
      <c r="P57" s="25"/>
      <c r="Q57" s="25">
        <v>57.1</v>
      </c>
      <c r="R57" s="25">
        <v>54.7</v>
      </c>
      <c r="S57" s="25">
        <v>74</v>
      </c>
      <c r="T57" s="25">
        <v>81.099999999999994</v>
      </c>
    </row>
    <row r="58" spans="2:21" s="36" customFormat="1" x14ac:dyDescent="0.25">
      <c r="B58" s="36" t="s">
        <v>182</v>
      </c>
      <c r="C58" s="36">
        <v>0</v>
      </c>
      <c r="D58" s="37">
        <v>0</v>
      </c>
      <c r="E58" s="36">
        <v>0</v>
      </c>
      <c r="F58" s="37">
        <v>0</v>
      </c>
      <c r="G58" s="36">
        <v>0</v>
      </c>
      <c r="H58" s="59">
        <v>0</v>
      </c>
      <c r="I58" s="36">
        <v>0</v>
      </c>
      <c r="J58" s="37">
        <v>0</v>
      </c>
      <c r="K58">
        <v>2.6</v>
      </c>
      <c r="L58" s="37"/>
      <c r="Q58" s="36">
        <v>0</v>
      </c>
      <c r="R58" s="36">
        <v>0</v>
      </c>
      <c r="S58" s="36">
        <v>0</v>
      </c>
      <c r="T58" s="36">
        <v>0</v>
      </c>
      <c r="U58" s="133"/>
    </row>
    <row r="59" spans="2:21" x14ac:dyDescent="0.25">
      <c r="B59" t="s">
        <v>105</v>
      </c>
      <c r="C59">
        <f>C56+C55+C57+C54+C53+C52+C51+C49+C58</f>
        <v>228.39999999999998</v>
      </c>
      <c r="D59" s="32">
        <f t="shared" si="76"/>
        <v>220.3</v>
      </c>
      <c r="E59">
        <f>E56+E55+E57+E54+E53+E52+E51+E49+E58</f>
        <v>287.5</v>
      </c>
      <c r="F59" s="32">
        <f t="shared" si="77"/>
        <v>268.40000000000003</v>
      </c>
      <c r="G59">
        <f>G56+G55+G57+G54+G53+G52+G51+G49+G58</f>
        <v>294.40000000000003</v>
      </c>
      <c r="H59" s="59">
        <f>H56+H55+H57+H54+H53+H52+H51+H49</f>
        <v>336.29999999999995</v>
      </c>
      <c r="I59">
        <f>I56+I55+I57+I54+I53+I52+I51+I49+I58</f>
        <v>343.40000000000003</v>
      </c>
      <c r="J59" s="32">
        <f t="shared" si="79"/>
        <v>372.1</v>
      </c>
      <c r="K59">
        <f>K56+K55+K57+K54+K53+K52+K51+K49+K58</f>
        <v>217.3</v>
      </c>
      <c r="L59" s="32"/>
      <c r="Q59">
        <f>Q56+Q55+Q57+Q54+Q53+Q52+Q51+Q49</f>
        <v>220.3</v>
      </c>
      <c r="R59">
        <f>R56+R55+R57+R54+R53+R52+R51+R49</f>
        <v>268.40000000000003</v>
      </c>
      <c r="S59">
        <f>S57+S54+S53+S52+S51+S49</f>
        <v>336.29999999999995</v>
      </c>
      <c r="T59">
        <f>T57+T54+T53+T52+T51+T49</f>
        <v>372.1</v>
      </c>
    </row>
    <row r="60" spans="2:21" x14ac:dyDescent="0.25">
      <c r="D60" s="32"/>
      <c r="F60" s="32"/>
      <c r="H60" s="59"/>
      <c r="J60" s="32"/>
      <c r="L60" s="32"/>
    </row>
    <row r="61" spans="2:21" x14ac:dyDescent="0.25">
      <c r="B61" t="s">
        <v>103</v>
      </c>
      <c r="C61">
        <v>131.80000000000001</v>
      </c>
      <c r="D61" s="32">
        <f>Q61</f>
        <v>160.30000000000001</v>
      </c>
      <c r="E61">
        <v>152.5</v>
      </c>
      <c r="F61" s="32">
        <f>R61</f>
        <v>164.7</v>
      </c>
      <c r="G61">
        <v>201.2</v>
      </c>
      <c r="H61" s="59">
        <f>S61</f>
        <v>150.4</v>
      </c>
      <c r="I61">
        <v>161.5</v>
      </c>
      <c r="J61" s="32">
        <f>T61</f>
        <v>167.9</v>
      </c>
      <c r="K61">
        <v>312.60000000000002</v>
      </c>
      <c r="L61" s="32"/>
      <c r="Q61">
        <v>160.30000000000001</v>
      </c>
      <c r="R61">
        <v>164.7</v>
      </c>
      <c r="S61">
        <v>150.4</v>
      </c>
      <c r="T61">
        <v>167.9</v>
      </c>
    </row>
    <row r="62" spans="2:21" x14ac:dyDescent="0.25">
      <c r="B62" t="s">
        <v>104</v>
      </c>
      <c r="C62">
        <f>C61+C59</f>
        <v>360.2</v>
      </c>
      <c r="D62" s="32">
        <f>Q62</f>
        <v>380.6</v>
      </c>
      <c r="E62">
        <f>E61+E59</f>
        <v>440</v>
      </c>
      <c r="F62" s="32">
        <f>R62</f>
        <v>433.1</v>
      </c>
      <c r="G62">
        <f>G61+G59</f>
        <v>495.6</v>
      </c>
      <c r="H62" s="32">
        <f>H61+H59</f>
        <v>486.69999999999993</v>
      </c>
      <c r="I62">
        <f>I61+I59</f>
        <v>504.90000000000003</v>
      </c>
      <c r="J62" s="32">
        <f>T62</f>
        <v>540</v>
      </c>
      <c r="K62">
        <f>K61+K59</f>
        <v>529.90000000000009</v>
      </c>
      <c r="L62" s="32"/>
      <c r="Q62">
        <f>Q61+Q59</f>
        <v>380.6</v>
      </c>
      <c r="R62">
        <f>R61+R59</f>
        <v>433.1</v>
      </c>
      <c r="S62">
        <f>S61+S59</f>
        <v>486.69999999999993</v>
      </c>
      <c r="T62">
        <f>T61+T59</f>
        <v>540</v>
      </c>
    </row>
    <row r="63" spans="2:21" x14ac:dyDescent="0.25">
      <c r="D63" s="32"/>
      <c r="F63" s="32"/>
      <c r="H63" s="32"/>
      <c r="J63" s="32"/>
      <c r="L63" s="32"/>
    </row>
    <row r="64" spans="2:21" x14ac:dyDescent="0.25">
      <c r="B64" s="77" t="s">
        <v>3</v>
      </c>
      <c r="C64" s="78">
        <f t="shared" ref="C64:I64" si="80">C36+C40</f>
        <v>144.79999999999998</v>
      </c>
      <c r="D64" s="82">
        <f t="shared" si="80"/>
        <v>134.1</v>
      </c>
      <c r="E64" s="78">
        <f t="shared" si="80"/>
        <v>112.1</v>
      </c>
      <c r="F64" s="82">
        <f t="shared" si="80"/>
        <v>100.1</v>
      </c>
      <c r="G64" s="78">
        <f t="shared" si="80"/>
        <v>141.5</v>
      </c>
      <c r="H64" s="82">
        <f t="shared" si="80"/>
        <v>222.2</v>
      </c>
      <c r="I64" s="78">
        <f t="shared" si="80"/>
        <v>192.9</v>
      </c>
      <c r="J64" s="82">
        <f>J36+J40</f>
        <v>255.6</v>
      </c>
      <c r="K64" s="78">
        <f t="shared" ref="K64" si="81">K36+K40</f>
        <v>299.5</v>
      </c>
      <c r="L64" s="82"/>
      <c r="M64" s="78"/>
      <c r="N64" s="78"/>
      <c r="O64" s="78"/>
      <c r="P64" s="78"/>
      <c r="Q64" s="78">
        <f t="shared" ref="Q64:T64" si="82">Q36+Q40</f>
        <v>134.1</v>
      </c>
      <c r="R64" s="78">
        <f t="shared" si="82"/>
        <v>100.1</v>
      </c>
      <c r="S64" s="78">
        <f t="shared" si="82"/>
        <v>222.2</v>
      </c>
      <c r="T64" s="79">
        <f t="shared" si="82"/>
        <v>255.6</v>
      </c>
    </row>
    <row r="65" spans="2:21" x14ac:dyDescent="0.25">
      <c r="B65" s="80" t="s">
        <v>4</v>
      </c>
      <c r="C65" s="81">
        <f t="shared" ref="C65:I65" si="83">C55+C48</f>
        <v>0</v>
      </c>
      <c r="D65" s="83">
        <f t="shared" si="83"/>
        <v>0</v>
      </c>
      <c r="E65" s="81">
        <f t="shared" si="83"/>
        <v>59.2</v>
      </c>
      <c r="F65" s="83">
        <f t="shared" si="83"/>
        <v>52.5</v>
      </c>
      <c r="G65" s="81">
        <f t="shared" si="83"/>
        <v>0</v>
      </c>
      <c r="H65" s="83">
        <f t="shared" si="83"/>
        <v>0</v>
      </c>
      <c r="I65" s="81">
        <f t="shared" si="83"/>
        <v>0</v>
      </c>
      <c r="J65" s="83">
        <f>J55+J48</f>
        <v>0</v>
      </c>
      <c r="K65" s="81">
        <f t="shared" ref="K65" si="84">K55+K48</f>
        <v>0</v>
      </c>
      <c r="L65" s="83"/>
      <c r="M65" s="81"/>
      <c r="N65" s="81"/>
      <c r="O65" s="81"/>
      <c r="P65" s="81"/>
      <c r="Q65" s="81">
        <f t="shared" ref="Q65:T65" si="85">Q55+Q48</f>
        <v>0</v>
      </c>
      <c r="R65" s="81">
        <f t="shared" si="85"/>
        <v>52.5</v>
      </c>
      <c r="S65" s="81">
        <f t="shared" si="85"/>
        <v>0</v>
      </c>
      <c r="T65" s="3">
        <f t="shared" si="85"/>
        <v>0</v>
      </c>
    </row>
    <row r="66" spans="2:21" s="25" customFormat="1" x14ac:dyDescent="0.25">
      <c r="B66" s="108" t="s">
        <v>5</v>
      </c>
      <c r="C66" s="109">
        <f>C64-C65</f>
        <v>144.79999999999998</v>
      </c>
      <c r="D66" s="110">
        <f t="shared" ref="D66:J66" si="86">D64-D65</f>
        <v>134.1</v>
      </c>
      <c r="E66" s="109">
        <f t="shared" si="86"/>
        <v>52.899999999999991</v>
      </c>
      <c r="F66" s="110">
        <f t="shared" si="86"/>
        <v>47.599999999999994</v>
      </c>
      <c r="G66" s="109">
        <f t="shared" si="86"/>
        <v>141.5</v>
      </c>
      <c r="H66" s="110">
        <f t="shared" si="86"/>
        <v>222.2</v>
      </c>
      <c r="I66" s="109">
        <f t="shared" si="86"/>
        <v>192.9</v>
      </c>
      <c r="J66" s="110">
        <f t="shared" si="86"/>
        <v>255.6</v>
      </c>
      <c r="K66" s="109">
        <f t="shared" ref="K66" si="87">K64-K65</f>
        <v>299.5</v>
      </c>
      <c r="L66" s="110"/>
      <c r="M66" s="109"/>
      <c r="N66" s="109"/>
      <c r="O66" s="109"/>
      <c r="P66" s="109"/>
      <c r="Q66" s="109">
        <f t="shared" ref="Q66" si="88">Q64-Q65</f>
        <v>134.1</v>
      </c>
      <c r="R66" s="109">
        <f t="shared" ref="R66" si="89">R64-R65</f>
        <v>47.599999999999994</v>
      </c>
      <c r="S66" s="109">
        <f t="shared" ref="S66" si="90">S64-S65</f>
        <v>222.2</v>
      </c>
      <c r="T66" s="111">
        <f t="shared" ref="T66" si="91">T64-T65</f>
        <v>255.6</v>
      </c>
      <c r="U66" s="105"/>
    </row>
    <row r="67" spans="2:21" x14ac:dyDescent="0.25">
      <c r="D67" s="32"/>
      <c r="F67" s="32"/>
      <c r="H67" s="32"/>
      <c r="J67" s="32"/>
      <c r="L67" s="32"/>
    </row>
    <row r="68" spans="2:21" x14ac:dyDescent="0.25">
      <c r="B68" t="s">
        <v>135</v>
      </c>
      <c r="C68" s="86">
        <f>C64/C57</f>
        <v>2.2073170731707314</v>
      </c>
      <c r="D68" s="134">
        <f t="shared" ref="D68:J68" si="92">D64/D57</f>
        <v>2.348511383537653</v>
      </c>
      <c r="E68" s="86">
        <f t="shared" si="92"/>
        <v>1.9529616724738676</v>
      </c>
      <c r="F68" s="134">
        <f t="shared" si="92"/>
        <v>1.8299817184643508</v>
      </c>
      <c r="G68" s="86">
        <f t="shared" si="92"/>
        <v>2.2143974960876371</v>
      </c>
      <c r="H68" s="134">
        <f t="shared" si="92"/>
        <v>3.0027027027027025</v>
      </c>
      <c r="I68" s="86">
        <f t="shared" si="92"/>
        <v>2.4573248407643313</v>
      </c>
      <c r="J68" s="134">
        <f t="shared" si="92"/>
        <v>3.1516646115906291</v>
      </c>
      <c r="K68" s="86">
        <f t="shared" ref="K68" si="93">K64/K57</f>
        <v>5.6403013182674195</v>
      </c>
      <c r="L68" s="52"/>
      <c r="M68" s="39"/>
      <c r="N68" s="39"/>
      <c r="O68" s="39"/>
      <c r="P68" s="39"/>
      <c r="Q68" s="86">
        <f>Q64/Q57</f>
        <v>2.348511383537653</v>
      </c>
      <c r="R68" s="86">
        <f t="shared" ref="R68:T68" si="94">R64/R57</f>
        <v>1.8299817184643508</v>
      </c>
      <c r="S68" s="86">
        <f t="shared" si="94"/>
        <v>3.0027027027027025</v>
      </c>
      <c r="T68" s="86">
        <f t="shared" si="94"/>
        <v>3.1516646115906291</v>
      </c>
    </row>
    <row r="69" spans="2:21" x14ac:dyDescent="0.25">
      <c r="B69" t="s">
        <v>134</v>
      </c>
      <c r="C69" s="86">
        <f t="shared" ref="C69:J69" si="95">C66/C57</f>
        <v>2.2073170731707314</v>
      </c>
      <c r="D69" s="134">
        <f t="shared" si="95"/>
        <v>2.348511383537653</v>
      </c>
      <c r="E69" s="86">
        <f t="shared" si="95"/>
        <v>0.92160278745644586</v>
      </c>
      <c r="F69" s="134">
        <f t="shared" si="95"/>
        <v>0.87020109689213876</v>
      </c>
      <c r="G69" s="86">
        <f t="shared" si="95"/>
        <v>2.2143974960876371</v>
      </c>
      <c r="H69" s="134">
        <f t="shared" si="95"/>
        <v>3.0027027027027025</v>
      </c>
      <c r="I69" s="86">
        <f t="shared" si="95"/>
        <v>2.4573248407643313</v>
      </c>
      <c r="J69" s="134">
        <f t="shared" si="95"/>
        <v>3.1516646115906291</v>
      </c>
      <c r="K69" s="86">
        <f t="shared" ref="K69" si="96">K66/K57</f>
        <v>5.6403013182674195</v>
      </c>
      <c r="L69" s="52"/>
      <c r="M69" s="39"/>
      <c r="N69" s="39"/>
      <c r="O69" s="39"/>
      <c r="P69" s="39"/>
      <c r="Q69" s="86">
        <f>Q66/Q57</f>
        <v>2.348511383537653</v>
      </c>
      <c r="R69" s="86">
        <f t="shared" ref="R69:T69" si="97">R66/R57</f>
        <v>0.87020109689213876</v>
      </c>
      <c r="S69" s="86">
        <f t="shared" si="97"/>
        <v>3.0027027027027025</v>
      </c>
      <c r="T69" s="86">
        <f t="shared" si="97"/>
        <v>3.1516646115906291</v>
      </c>
    </row>
    <row r="70" spans="2:21" x14ac:dyDescent="0.25">
      <c r="D70" s="32"/>
      <c r="F70" s="32"/>
      <c r="H70" s="32"/>
      <c r="J70" s="32"/>
      <c r="L70" s="52"/>
    </row>
    <row r="71" spans="2:21" x14ac:dyDescent="0.25">
      <c r="B71" t="s">
        <v>183</v>
      </c>
      <c r="C71">
        <f>C43-C59</f>
        <v>131.79999999999995</v>
      </c>
      <c r="D71" s="83">
        <f t="shared" ref="D71:K71" si="98">D43-D59</f>
        <v>160.30000000000001</v>
      </c>
      <c r="E71">
        <f t="shared" si="98"/>
        <v>152.50000000000006</v>
      </c>
      <c r="F71" s="83">
        <f t="shared" si="98"/>
        <v>164.7</v>
      </c>
      <c r="G71">
        <f t="shared" si="98"/>
        <v>201.2</v>
      </c>
      <c r="H71" s="83">
        <f t="shared" si="98"/>
        <v>150.39999999999998</v>
      </c>
      <c r="I71">
        <f t="shared" si="98"/>
        <v>161.5</v>
      </c>
      <c r="J71" s="83">
        <f t="shared" si="98"/>
        <v>167.89999999999998</v>
      </c>
      <c r="K71">
        <f t="shared" si="98"/>
        <v>312.59999999999997</v>
      </c>
      <c r="L71" s="52"/>
      <c r="Q71">
        <f t="shared" ref="Q71:T71" si="99">Q43-Q59</f>
        <v>160.30000000000001</v>
      </c>
      <c r="R71">
        <f t="shared" si="99"/>
        <v>164.7</v>
      </c>
      <c r="S71">
        <f t="shared" si="99"/>
        <v>150.39999999999998</v>
      </c>
      <c r="T71">
        <f t="shared" si="99"/>
        <v>167.89999999999998</v>
      </c>
    </row>
    <row r="72" spans="2:21" x14ac:dyDescent="0.25">
      <c r="B72" t="s">
        <v>184</v>
      </c>
      <c r="C72">
        <f>C71/C19</f>
        <v>0.36652385668048432</v>
      </c>
      <c r="D72" s="83">
        <f t="shared" ref="D72:K72" si="100">D71/D19</f>
        <v>0.43690239050584234</v>
      </c>
      <c r="E72">
        <f t="shared" si="100"/>
        <v>0.4160234693761361</v>
      </c>
      <c r="F72" s="83">
        <f t="shared" si="100"/>
        <v>0.44597614972624322</v>
      </c>
      <c r="G72">
        <f t="shared" si="100"/>
        <v>0.54604565690197626</v>
      </c>
      <c r="H72" s="83">
        <f t="shared" si="100"/>
        <v>0.40804373467009325</v>
      </c>
      <c r="I72">
        <f t="shared" si="100"/>
        <v>0.43577287542557031</v>
      </c>
      <c r="J72" s="83">
        <f t="shared" si="100"/>
        <v>0.45209379729760402</v>
      </c>
      <c r="K72">
        <f t="shared" si="100"/>
        <v>0.76821884818013808</v>
      </c>
      <c r="L72" s="52"/>
      <c r="Q72">
        <f t="shared" ref="Q72:T72" si="101">Q71/Q19</f>
        <v>0.43690239050584234</v>
      </c>
      <c r="R72">
        <f t="shared" si="101"/>
        <v>0.44597614972624322</v>
      </c>
      <c r="S72">
        <f t="shared" si="101"/>
        <v>0.40804373467009325</v>
      </c>
      <c r="T72">
        <f t="shared" si="101"/>
        <v>0.45209379729760402</v>
      </c>
    </row>
    <row r="73" spans="2:21" s="36" customFormat="1" x14ac:dyDescent="0.25">
      <c r="B73" s="36" t="s">
        <v>189</v>
      </c>
      <c r="C73" s="36">
        <f>C72*(1/C29)</f>
        <v>0.27750140572417042</v>
      </c>
      <c r="D73" s="37">
        <f t="shared" ref="D73:K73" si="102">D72*(1/D29)</f>
        <v>0.34418023515506724</v>
      </c>
      <c r="E73" s="36">
        <f t="shared" si="102"/>
        <v>0.32817186193589654</v>
      </c>
      <c r="F73" s="37">
        <f t="shared" si="102"/>
        <v>0.34010230284926657</v>
      </c>
      <c r="G73" s="36">
        <f t="shared" si="102"/>
        <v>0.44354289408007164</v>
      </c>
      <c r="H73" s="37">
        <f t="shared" si="102"/>
        <v>0.29934981635250041</v>
      </c>
      <c r="I73" s="36">
        <f t="shared" si="102"/>
        <v>0.31479655813448698</v>
      </c>
      <c r="J73" s="37">
        <f t="shared" si="102"/>
        <v>0.33493391413365237</v>
      </c>
      <c r="K73" s="36">
        <f t="shared" si="102"/>
        <v>0.63321698663051273</v>
      </c>
      <c r="L73" s="143"/>
      <c r="U73" s="133"/>
    </row>
    <row r="74" spans="2:21" x14ac:dyDescent="0.25">
      <c r="D74" s="32"/>
      <c r="F74" s="32"/>
      <c r="H74" s="32"/>
      <c r="J74" s="32"/>
      <c r="L74" s="52"/>
    </row>
    <row r="75" spans="2:21" x14ac:dyDescent="0.25">
      <c r="B75" t="s">
        <v>180</v>
      </c>
      <c r="C75">
        <v>2.64</v>
      </c>
      <c r="D75" s="32"/>
      <c r="E75">
        <v>1.63</v>
      </c>
      <c r="F75" s="32"/>
      <c r="G75">
        <v>1.746</v>
      </c>
      <c r="H75" s="32"/>
      <c r="I75">
        <v>3.8380000000000001</v>
      </c>
      <c r="J75" s="32"/>
      <c r="K75">
        <v>1.6759999999999999</v>
      </c>
      <c r="L75" s="52"/>
    </row>
    <row r="76" spans="2:21" s="138" customFormat="1" x14ac:dyDescent="0.25">
      <c r="B76" s="138" t="s">
        <v>188</v>
      </c>
      <c r="C76" s="140">
        <f>C75*C19</f>
        <v>949.32974664000005</v>
      </c>
      <c r="D76" s="141"/>
      <c r="E76" s="140">
        <f>E75*E19</f>
        <v>597.50234853999996</v>
      </c>
      <c r="F76" s="141"/>
      <c r="G76" s="140">
        <f>G75*G19</f>
        <v>643.34400532199993</v>
      </c>
      <c r="H76" s="141"/>
      <c r="I76" s="140">
        <f>I75*I19</f>
        <v>1422.385455714</v>
      </c>
      <c r="J76" s="141"/>
      <c r="K76" s="140">
        <f>K75*K19</f>
        <v>681.99003609600004</v>
      </c>
      <c r="L76" s="52"/>
      <c r="U76" s="139"/>
    </row>
    <row r="77" spans="2:21" s="138" customFormat="1" x14ac:dyDescent="0.25">
      <c r="B77" s="138" t="s">
        <v>6</v>
      </c>
      <c r="C77" s="140">
        <f>C76-C66</f>
        <v>804.5297466400001</v>
      </c>
      <c r="D77" s="141"/>
      <c r="E77" s="140">
        <f>E76-E66</f>
        <v>544.60234853999998</v>
      </c>
      <c r="F77" s="141"/>
      <c r="G77" s="140">
        <f>G76-G66</f>
        <v>501.84400532199993</v>
      </c>
      <c r="H77" s="141"/>
      <c r="I77" s="140">
        <f>I76-I66</f>
        <v>1229.485455714</v>
      </c>
      <c r="J77" s="141"/>
      <c r="K77" s="140">
        <f>K76-K66</f>
        <v>382.49003609600004</v>
      </c>
      <c r="L77" s="52"/>
      <c r="U77" s="139"/>
    </row>
    <row r="78" spans="2:21" x14ac:dyDescent="0.25">
      <c r="D78" s="32"/>
      <c r="F78" s="32"/>
      <c r="H78" s="32"/>
      <c r="J78" s="32"/>
      <c r="L78" s="32"/>
    </row>
    <row r="79" spans="2:21" x14ac:dyDescent="0.25">
      <c r="D79" s="32"/>
      <c r="F79" s="32"/>
      <c r="H79" s="32"/>
      <c r="J79" s="32"/>
      <c r="L79" s="32"/>
    </row>
    <row r="80" spans="2:21" x14ac:dyDescent="0.25">
      <c r="B80" t="s">
        <v>185</v>
      </c>
      <c r="C80" s="142">
        <f>C75/C73</f>
        <v>9.5134653214120846</v>
      </c>
      <c r="D80" s="144"/>
      <c r="E80" s="142">
        <f>E75/E73</f>
        <v>4.966909686846936</v>
      </c>
      <c r="F80" s="144"/>
      <c r="G80" s="142">
        <f>G75/G73</f>
        <v>3.9364851140751207</v>
      </c>
      <c r="H80" s="144"/>
      <c r="I80" s="142">
        <f>I75/I73</f>
        <v>12.19200115383833</v>
      </c>
      <c r="J80" s="144"/>
      <c r="K80" s="142">
        <f>K75/K73</f>
        <v>2.6468020210865877</v>
      </c>
      <c r="L80" s="32"/>
      <c r="Q80">
        <f t="shared" ref="Q80:T80" si="103">Q75/Q72</f>
        <v>0</v>
      </c>
      <c r="R80">
        <f t="shared" si="103"/>
        <v>0</v>
      </c>
      <c r="S80">
        <f t="shared" si="103"/>
        <v>0</v>
      </c>
      <c r="T80">
        <f t="shared" si="103"/>
        <v>0</v>
      </c>
    </row>
    <row r="81" spans="2:12" x14ac:dyDescent="0.25">
      <c r="B81" t="s">
        <v>187</v>
      </c>
      <c r="D81" s="32"/>
      <c r="F81" s="32"/>
      <c r="H81" s="32"/>
      <c r="J81" s="32"/>
      <c r="L81" s="32"/>
    </row>
    <row r="83" spans="2:12" x14ac:dyDescent="0.25">
      <c r="B83" s="41" t="s">
        <v>149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J11 J15 H11 H15 H39 J39 F39 D39 D11 D15 F59 F62 F49 D49 D59 D62 F15 F11 X3:X4 X8:X9 X5 L7 L11 L15 J43 J59 H59 J62 J49 D43:H4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D7C0-E33A-438E-957C-D679C8B50EB8}">
  <dimension ref="A1:G51"/>
  <sheetViews>
    <sheetView workbookViewId="0">
      <selection activeCell="C22" sqref="C22"/>
    </sheetView>
  </sheetViews>
  <sheetFormatPr defaultColWidth="8.85546875" defaultRowHeight="15" x14ac:dyDescent="0.25"/>
  <cols>
    <col min="1" max="1" width="10.140625" bestFit="1" customWidth="1"/>
    <col min="2" max="2" width="19.28515625" bestFit="1" customWidth="1"/>
    <col min="3" max="3" width="18.28515625" bestFit="1" customWidth="1"/>
    <col min="4" max="4" width="11" bestFit="1" customWidth="1"/>
    <col min="5" max="5" width="12" bestFit="1" customWidth="1"/>
    <col min="6" max="6" width="12.42578125" bestFit="1" customWidth="1"/>
    <col min="7" max="7" width="11.85546875" bestFit="1" customWidth="1"/>
  </cols>
  <sheetData>
    <row r="1" spans="1:7" x14ac:dyDescent="0.25">
      <c r="A1" s="112" t="s">
        <v>158</v>
      </c>
      <c r="B1" s="112" t="s">
        <v>159</v>
      </c>
      <c r="C1" s="112" t="s">
        <v>160</v>
      </c>
      <c r="D1" s="112" t="s">
        <v>161</v>
      </c>
      <c r="E1" s="112" t="s">
        <v>162</v>
      </c>
      <c r="F1" s="112" t="s">
        <v>163</v>
      </c>
      <c r="G1" s="121" t="s">
        <v>180</v>
      </c>
    </row>
    <row r="2" spans="1:7" x14ac:dyDescent="0.25">
      <c r="A2" s="113">
        <v>44785</v>
      </c>
      <c r="B2" s="115" t="s">
        <v>164</v>
      </c>
      <c r="C2" s="116" t="s">
        <v>165</v>
      </c>
      <c r="D2" s="114">
        <v>370</v>
      </c>
      <c r="E2" s="114">
        <v>370</v>
      </c>
      <c r="F2" s="114" t="s">
        <v>166</v>
      </c>
    </row>
    <row r="3" spans="1:7" x14ac:dyDescent="0.25">
      <c r="A3" s="117">
        <v>44768</v>
      </c>
      <c r="B3" s="119" t="s">
        <v>167</v>
      </c>
      <c r="C3" s="118" t="s">
        <v>168</v>
      </c>
      <c r="D3" s="118">
        <v>250</v>
      </c>
      <c r="E3" s="118">
        <v>230</v>
      </c>
      <c r="F3" s="118" t="s">
        <v>166</v>
      </c>
    </row>
    <row r="4" spans="1:7" x14ac:dyDescent="0.25">
      <c r="A4" s="113">
        <v>44762</v>
      </c>
      <c r="B4" s="115" t="s">
        <v>164</v>
      </c>
      <c r="C4" s="116" t="s">
        <v>165</v>
      </c>
      <c r="D4" s="114">
        <v>500</v>
      </c>
      <c r="E4" s="114">
        <v>370</v>
      </c>
      <c r="F4" s="114" t="s">
        <v>166</v>
      </c>
    </row>
    <row r="5" spans="1:7" x14ac:dyDescent="0.25">
      <c r="A5" s="117">
        <v>44747</v>
      </c>
      <c r="B5" s="119" t="s">
        <v>169</v>
      </c>
      <c r="C5" s="120" t="s">
        <v>165</v>
      </c>
      <c r="D5" s="118">
        <v>350</v>
      </c>
      <c r="E5" s="118">
        <v>350</v>
      </c>
      <c r="F5" s="118" t="s">
        <v>166</v>
      </c>
    </row>
    <row r="6" spans="1:7" x14ac:dyDescent="0.25">
      <c r="A6" s="113">
        <v>44697</v>
      </c>
      <c r="B6" s="115" t="s">
        <v>164</v>
      </c>
      <c r="C6" s="116" t="s">
        <v>165</v>
      </c>
      <c r="D6" s="114" t="s">
        <v>148</v>
      </c>
      <c r="E6" s="114">
        <v>500</v>
      </c>
      <c r="F6" s="114" t="s">
        <v>166</v>
      </c>
    </row>
    <row r="7" spans="1:7" x14ac:dyDescent="0.25">
      <c r="A7" s="117">
        <v>44665</v>
      </c>
      <c r="B7" s="119" t="s">
        <v>164</v>
      </c>
      <c r="C7" s="120" t="s">
        <v>165</v>
      </c>
      <c r="D7" s="118">
        <v>545</v>
      </c>
      <c r="E7" s="118">
        <v>500</v>
      </c>
      <c r="F7" s="118" t="s">
        <v>166</v>
      </c>
    </row>
    <row r="8" spans="1:7" x14ac:dyDescent="0.25">
      <c r="A8" s="113">
        <v>44658</v>
      </c>
      <c r="B8" s="115" t="s">
        <v>170</v>
      </c>
      <c r="C8" s="116" t="s">
        <v>165</v>
      </c>
      <c r="D8" s="114">
        <v>690</v>
      </c>
      <c r="E8" s="114">
        <v>690</v>
      </c>
      <c r="F8" s="114" t="s">
        <v>166</v>
      </c>
    </row>
    <row r="9" spans="1:7" x14ac:dyDescent="0.25">
      <c r="A9" s="117">
        <v>44650</v>
      </c>
      <c r="B9" s="119" t="s">
        <v>164</v>
      </c>
      <c r="C9" s="120" t="s">
        <v>165</v>
      </c>
      <c r="D9" s="118" t="s">
        <v>148</v>
      </c>
      <c r="E9" s="118">
        <v>545</v>
      </c>
      <c r="F9" s="118" t="s">
        <v>166</v>
      </c>
    </row>
    <row r="10" spans="1:7" x14ac:dyDescent="0.25">
      <c r="A10" s="113">
        <v>44642</v>
      </c>
      <c r="B10" s="115" t="s">
        <v>164</v>
      </c>
      <c r="C10" s="116" t="s">
        <v>165</v>
      </c>
      <c r="D10" s="114" t="s">
        <v>148</v>
      </c>
      <c r="E10" s="114">
        <v>545</v>
      </c>
      <c r="F10" s="114" t="s">
        <v>166</v>
      </c>
    </row>
    <row r="11" spans="1:7" x14ac:dyDescent="0.25">
      <c r="A11" s="117">
        <v>44629</v>
      </c>
      <c r="B11" s="119" t="s">
        <v>170</v>
      </c>
      <c r="C11" s="120" t="s">
        <v>165</v>
      </c>
      <c r="D11" s="118">
        <v>690</v>
      </c>
      <c r="E11" s="118">
        <v>690</v>
      </c>
      <c r="F11" s="118" t="s">
        <v>166</v>
      </c>
    </row>
    <row r="12" spans="1:7" x14ac:dyDescent="0.25">
      <c r="A12" s="113">
        <v>44629</v>
      </c>
      <c r="B12" s="115" t="s">
        <v>164</v>
      </c>
      <c r="C12" s="116" t="s">
        <v>165</v>
      </c>
      <c r="D12" s="114" t="s">
        <v>148</v>
      </c>
      <c r="E12" s="114">
        <v>545</v>
      </c>
      <c r="F12" s="114" t="s">
        <v>166</v>
      </c>
    </row>
    <row r="13" spans="1:7" x14ac:dyDescent="0.25">
      <c r="A13" s="117">
        <v>44578</v>
      </c>
      <c r="B13" s="119" t="s">
        <v>164</v>
      </c>
      <c r="C13" s="120" t="s">
        <v>165</v>
      </c>
      <c r="D13" s="118">
        <v>600</v>
      </c>
      <c r="E13" s="118">
        <v>545</v>
      </c>
      <c r="F13" s="118" t="s">
        <v>166</v>
      </c>
    </row>
    <row r="14" spans="1:7" x14ac:dyDescent="0.25">
      <c r="A14" s="113">
        <v>44531</v>
      </c>
      <c r="B14" s="115" t="s">
        <v>164</v>
      </c>
      <c r="C14" s="116" t="s">
        <v>165</v>
      </c>
      <c r="D14" s="114" t="s">
        <v>148</v>
      </c>
      <c r="E14" s="114">
        <v>600</v>
      </c>
      <c r="F14" s="114" t="s">
        <v>166</v>
      </c>
    </row>
    <row r="15" spans="1:7" x14ac:dyDescent="0.25">
      <c r="A15" s="117">
        <v>44530</v>
      </c>
      <c r="B15" s="119" t="s">
        <v>171</v>
      </c>
      <c r="C15" s="120" t="s">
        <v>165</v>
      </c>
      <c r="D15" s="118">
        <v>750</v>
      </c>
      <c r="E15" s="118">
        <v>750</v>
      </c>
      <c r="F15" s="118" t="s">
        <v>166</v>
      </c>
    </row>
    <row r="16" spans="1:7" x14ac:dyDescent="0.25">
      <c r="A16" s="113">
        <v>44488</v>
      </c>
      <c r="B16" s="115" t="s">
        <v>171</v>
      </c>
      <c r="C16" s="116" t="s">
        <v>165</v>
      </c>
      <c r="D16" s="114">
        <v>750</v>
      </c>
      <c r="E16" s="114">
        <v>750</v>
      </c>
      <c r="F16" s="114" t="s">
        <v>166</v>
      </c>
    </row>
    <row r="17" spans="1:6" x14ac:dyDescent="0.25">
      <c r="A17" s="117">
        <v>44488</v>
      </c>
      <c r="B17" s="119" t="s">
        <v>170</v>
      </c>
      <c r="C17" s="120" t="s">
        <v>165</v>
      </c>
      <c r="D17" s="118">
        <v>690</v>
      </c>
      <c r="E17" s="118">
        <v>690</v>
      </c>
      <c r="F17" s="118" t="s">
        <v>166</v>
      </c>
    </row>
    <row r="18" spans="1:6" x14ac:dyDescent="0.25">
      <c r="A18" s="113">
        <v>44488</v>
      </c>
      <c r="B18" s="115" t="s">
        <v>164</v>
      </c>
      <c r="C18" s="116" t="s">
        <v>165</v>
      </c>
      <c r="D18" s="114" t="s">
        <v>148</v>
      </c>
      <c r="E18" s="114">
        <v>600</v>
      </c>
      <c r="F18" s="114" t="s">
        <v>166</v>
      </c>
    </row>
    <row r="19" spans="1:6" x14ac:dyDescent="0.25">
      <c r="A19" s="117">
        <v>44469</v>
      </c>
      <c r="B19" s="119" t="s">
        <v>170</v>
      </c>
      <c r="C19" s="120" t="s">
        <v>165</v>
      </c>
      <c r="D19" s="118">
        <v>510</v>
      </c>
      <c r="E19" s="118">
        <v>690</v>
      </c>
      <c r="F19" s="118" t="s">
        <v>166</v>
      </c>
    </row>
    <row r="20" spans="1:6" x14ac:dyDescent="0.25">
      <c r="A20" s="113">
        <v>44449</v>
      </c>
      <c r="B20" s="115" t="s">
        <v>164</v>
      </c>
      <c r="C20" s="116" t="s">
        <v>165</v>
      </c>
      <c r="D20" s="114">
        <v>470</v>
      </c>
      <c r="E20" s="114">
        <v>600</v>
      </c>
      <c r="F20" s="114" t="s">
        <v>166</v>
      </c>
    </row>
    <row r="21" spans="1:6" x14ac:dyDescent="0.25">
      <c r="A21" s="117">
        <v>44439</v>
      </c>
      <c r="B21" s="119" t="s">
        <v>164</v>
      </c>
      <c r="C21" s="120" t="s">
        <v>165</v>
      </c>
      <c r="D21" s="118" t="s">
        <v>148</v>
      </c>
      <c r="E21" s="118">
        <v>460</v>
      </c>
      <c r="F21" s="118" t="s">
        <v>166</v>
      </c>
    </row>
    <row r="22" spans="1:6" x14ac:dyDescent="0.25">
      <c r="A22" s="113">
        <v>44383</v>
      </c>
      <c r="B22" s="115" t="s">
        <v>164</v>
      </c>
      <c r="C22" s="116" t="s">
        <v>165</v>
      </c>
      <c r="D22" s="114" t="s">
        <v>148</v>
      </c>
      <c r="E22" s="114">
        <v>460</v>
      </c>
      <c r="F22" s="114" t="s">
        <v>166</v>
      </c>
    </row>
    <row r="23" spans="1:6" x14ac:dyDescent="0.25">
      <c r="A23" s="117">
        <v>44371</v>
      </c>
      <c r="B23" s="119" t="s">
        <v>171</v>
      </c>
      <c r="C23" s="120" t="s">
        <v>165</v>
      </c>
      <c r="D23" s="118">
        <v>500</v>
      </c>
      <c r="E23" s="118">
        <v>500</v>
      </c>
      <c r="F23" s="118" t="s">
        <v>166</v>
      </c>
    </row>
    <row r="24" spans="1:6" x14ac:dyDescent="0.25">
      <c r="A24" s="113">
        <v>44371</v>
      </c>
      <c r="B24" s="115" t="s">
        <v>170</v>
      </c>
      <c r="C24" s="116" t="s">
        <v>165</v>
      </c>
      <c r="D24" s="114">
        <v>475</v>
      </c>
      <c r="E24" s="114">
        <v>475</v>
      </c>
      <c r="F24" s="114" t="s">
        <v>166</v>
      </c>
    </row>
    <row r="25" spans="1:6" x14ac:dyDescent="0.25">
      <c r="A25" s="117">
        <v>44314</v>
      </c>
      <c r="B25" s="119" t="s">
        <v>170</v>
      </c>
      <c r="C25" s="120" t="s">
        <v>165</v>
      </c>
      <c r="D25" s="118">
        <v>420</v>
      </c>
      <c r="E25" s="118">
        <v>475</v>
      </c>
      <c r="F25" s="118" t="s">
        <v>166</v>
      </c>
    </row>
    <row r="26" spans="1:6" x14ac:dyDescent="0.25">
      <c r="A26" s="113">
        <v>44314</v>
      </c>
      <c r="B26" s="115" t="s">
        <v>164</v>
      </c>
      <c r="C26" s="116" t="s">
        <v>165</v>
      </c>
      <c r="D26" s="114" t="s">
        <v>148</v>
      </c>
      <c r="E26" s="114">
        <v>420</v>
      </c>
      <c r="F26" s="114" t="s">
        <v>166</v>
      </c>
    </row>
    <row r="27" spans="1:6" x14ac:dyDescent="0.25">
      <c r="A27" s="117">
        <v>44285</v>
      </c>
      <c r="B27" s="119" t="s">
        <v>167</v>
      </c>
      <c r="C27" s="118" t="s">
        <v>168</v>
      </c>
      <c r="D27" s="118" t="s">
        <v>148</v>
      </c>
      <c r="E27" s="118" t="s">
        <v>148</v>
      </c>
      <c r="F27" s="118" t="s">
        <v>172</v>
      </c>
    </row>
    <row r="28" spans="1:6" x14ac:dyDescent="0.25">
      <c r="A28" s="113">
        <v>44273</v>
      </c>
      <c r="B28" s="115" t="s">
        <v>171</v>
      </c>
      <c r="C28" s="116" t="s">
        <v>165</v>
      </c>
      <c r="D28" s="114" t="s">
        <v>148</v>
      </c>
      <c r="E28" s="114">
        <v>400</v>
      </c>
      <c r="F28" s="114" t="s">
        <v>166</v>
      </c>
    </row>
    <row r="29" spans="1:6" x14ac:dyDescent="0.25">
      <c r="A29" s="117">
        <v>44273</v>
      </c>
      <c r="B29" s="119" t="s">
        <v>173</v>
      </c>
      <c r="C29" s="118" t="s">
        <v>174</v>
      </c>
      <c r="D29" s="118" t="s">
        <v>148</v>
      </c>
      <c r="E29" s="118">
        <v>360</v>
      </c>
      <c r="F29" s="118" t="s">
        <v>166</v>
      </c>
    </row>
    <row r="30" spans="1:6" x14ac:dyDescent="0.25">
      <c r="A30" s="113">
        <v>44252</v>
      </c>
      <c r="B30" s="115" t="s">
        <v>175</v>
      </c>
      <c r="C30" s="116" t="s">
        <v>165</v>
      </c>
      <c r="D30" s="114" t="s">
        <v>148</v>
      </c>
      <c r="E30" s="114">
        <v>380</v>
      </c>
      <c r="F30" s="114" t="s">
        <v>166</v>
      </c>
    </row>
    <row r="31" spans="1:6" x14ac:dyDescent="0.25">
      <c r="A31" s="117">
        <v>44011</v>
      </c>
      <c r="B31" s="119" t="s">
        <v>167</v>
      </c>
      <c r="C31" s="118" t="s">
        <v>176</v>
      </c>
      <c r="D31" s="118">
        <v>180</v>
      </c>
      <c r="E31" s="118">
        <v>200</v>
      </c>
      <c r="F31" s="118" t="s">
        <v>166</v>
      </c>
    </row>
    <row r="32" spans="1:6" x14ac:dyDescent="0.25">
      <c r="A32" s="113">
        <v>44011</v>
      </c>
      <c r="B32" s="115" t="s">
        <v>169</v>
      </c>
      <c r="C32" s="116" t="s">
        <v>165</v>
      </c>
      <c r="D32" s="114">
        <v>188</v>
      </c>
      <c r="E32" s="114">
        <v>200</v>
      </c>
      <c r="F32" s="114" t="s">
        <v>166</v>
      </c>
    </row>
    <row r="33" spans="1:6" x14ac:dyDescent="0.25">
      <c r="A33" s="117">
        <v>43837</v>
      </c>
      <c r="B33" s="119" t="s">
        <v>170</v>
      </c>
      <c r="C33" s="120" t="s">
        <v>165</v>
      </c>
      <c r="D33" s="118">
        <v>264</v>
      </c>
      <c r="E33" s="118">
        <v>243</v>
      </c>
      <c r="F33" s="118" t="s">
        <v>166</v>
      </c>
    </row>
    <row r="34" spans="1:6" x14ac:dyDescent="0.25">
      <c r="A34" s="113">
        <v>43718</v>
      </c>
      <c r="B34" s="115" t="s">
        <v>170</v>
      </c>
      <c r="C34" s="116" t="s">
        <v>165</v>
      </c>
      <c r="D34" s="114">
        <v>285</v>
      </c>
      <c r="E34" s="114">
        <v>264</v>
      </c>
      <c r="F34" s="114" t="s">
        <v>166</v>
      </c>
    </row>
    <row r="35" spans="1:6" x14ac:dyDescent="0.25">
      <c r="A35" s="117">
        <v>43642</v>
      </c>
      <c r="B35" s="119" t="s">
        <v>171</v>
      </c>
      <c r="C35" s="120" t="s">
        <v>165</v>
      </c>
      <c r="D35" s="118">
        <v>220</v>
      </c>
      <c r="E35" s="118">
        <v>200</v>
      </c>
      <c r="F35" s="118" t="s">
        <v>166</v>
      </c>
    </row>
    <row r="36" spans="1:6" x14ac:dyDescent="0.25">
      <c r="A36" s="113">
        <v>43622</v>
      </c>
      <c r="B36" s="115" t="s">
        <v>170</v>
      </c>
      <c r="C36" s="116" t="s">
        <v>165</v>
      </c>
      <c r="D36" s="114" t="s">
        <v>148</v>
      </c>
      <c r="E36" s="114">
        <v>285</v>
      </c>
      <c r="F36" s="114" t="s">
        <v>166</v>
      </c>
    </row>
    <row r="37" spans="1:6" x14ac:dyDescent="0.25">
      <c r="A37" s="117">
        <v>43621</v>
      </c>
      <c r="B37" s="119" t="s">
        <v>173</v>
      </c>
      <c r="C37" s="118" t="s">
        <v>174</v>
      </c>
      <c r="D37" s="118" t="s">
        <v>148</v>
      </c>
      <c r="E37" s="118">
        <v>170</v>
      </c>
      <c r="F37" s="118" t="s">
        <v>177</v>
      </c>
    </row>
    <row r="38" spans="1:6" x14ac:dyDescent="0.25">
      <c r="A38" s="113">
        <v>43613</v>
      </c>
      <c r="B38" s="115" t="s">
        <v>170</v>
      </c>
      <c r="C38" s="116" t="s">
        <v>165</v>
      </c>
      <c r="D38" s="114">
        <v>285</v>
      </c>
      <c r="E38" s="114">
        <v>285</v>
      </c>
      <c r="F38" s="114" t="s">
        <v>166</v>
      </c>
    </row>
    <row r="39" spans="1:6" x14ac:dyDescent="0.25">
      <c r="A39" s="117">
        <v>43536</v>
      </c>
      <c r="B39" s="119" t="s">
        <v>170</v>
      </c>
      <c r="C39" s="120" t="s">
        <v>165</v>
      </c>
      <c r="D39" s="118" t="s">
        <v>148</v>
      </c>
      <c r="E39" s="118">
        <v>285</v>
      </c>
      <c r="F39" s="118" t="s">
        <v>166</v>
      </c>
    </row>
    <row r="40" spans="1:6" x14ac:dyDescent="0.25">
      <c r="A40" s="113">
        <v>43528</v>
      </c>
      <c r="B40" s="115" t="s">
        <v>170</v>
      </c>
      <c r="C40" s="116" t="s">
        <v>165</v>
      </c>
      <c r="D40" s="114" t="s">
        <v>148</v>
      </c>
      <c r="E40" s="114">
        <v>285</v>
      </c>
      <c r="F40" s="114" t="s">
        <v>166</v>
      </c>
    </row>
    <row r="41" spans="1:6" x14ac:dyDescent="0.25">
      <c r="A41" s="117">
        <v>43453</v>
      </c>
      <c r="B41" s="119" t="s">
        <v>173</v>
      </c>
      <c r="C41" s="118" t="s">
        <v>178</v>
      </c>
      <c r="D41" s="118">
        <v>180</v>
      </c>
      <c r="E41" s="118">
        <v>180</v>
      </c>
      <c r="F41" s="118" t="s">
        <v>166</v>
      </c>
    </row>
    <row r="42" spans="1:6" x14ac:dyDescent="0.25">
      <c r="A42" s="113">
        <v>43453</v>
      </c>
      <c r="B42" s="115" t="s">
        <v>170</v>
      </c>
      <c r="C42" s="116" t="s">
        <v>165</v>
      </c>
      <c r="D42" s="114">
        <v>300</v>
      </c>
      <c r="E42" s="114">
        <v>300</v>
      </c>
      <c r="F42" s="114" t="s">
        <v>166</v>
      </c>
    </row>
    <row r="43" spans="1:6" x14ac:dyDescent="0.25">
      <c r="A43" s="117">
        <v>43423</v>
      </c>
      <c r="B43" s="119" t="s">
        <v>170</v>
      </c>
      <c r="C43" s="120" t="s">
        <v>165</v>
      </c>
      <c r="D43" s="118">
        <v>306</v>
      </c>
      <c r="E43" s="118">
        <v>300</v>
      </c>
      <c r="F43" s="118" t="s">
        <v>166</v>
      </c>
    </row>
    <row r="44" spans="1:6" x14ac:dyDescent="0.25">
      <c r="A44" s="113">
        <v>43402</v>
      </c>
      <c r="B44" s="115" t="s">
        <v>170</v>
      </c>
      <c r="C44" s="116" t="s">
        <v>165</v>
      </c>
      <c r="D44" s="114" t="s">
        <v>148</v>
      </c>
      <c r="E44" s="114">
        <v>306</v>
      </c>
      <c r="F44" s="114" t="s">
        <v>166</v>
      </c>
    </row>
    <row r="45" spans="1:6" x14ac:dyDescent="0.25">
      <c r="A45" s="117">
        <v>43370</v>
      </c>
      <c r="B45" s="119" t="s">
        <v>173</v>
      </c>
      <c r="C45" s="118" t="s">
        <v>178</v>
      </c>
      <c r="D45" s="118">
        <v>245</v>
      </c>
      <c r="E45" s="118">
        <v>245</v>
      </c>
      <c r="F45" s="118" t="s">
        <v>166</v>
      </c>
    </row>
    <row r="46" spans="1:6" x14ac:dyDescent="0.25">
      <c r="A46" s="113">
        <v>43370</v>
      </c>
      <c r="B46" s="115" t="s">
        <v>170</v>
      </c>
      <c r="C46" s="116" t="s">
        <v>165</v>
      </c>
      <c r="D46" s="114">
        <v>318</v>
      </c>
      <c r="E46" s="114">
        <v>306</v>
      </c>
      <c r="F46" s="114" t="s">
        <v>166</v>
      </c>
    </row>
    <row r="47" spans="1:6" x14ac:dyDescent="0.25">
      <c r="A47" s="117">
        <v>43353</v>
      </c>
      <c r="B47" s="119" t="s">
        <v>171</v>
      </c>
      <c r="C47" s="120" t="s">
        <v>165</v>
      </c>
      <c r="D47" s="118">
        <v>320</v>
      </c>
      <c r="E47" s="118">
        <v>320</v>
      </c>
      <c r="F47" s="118" t="s">
        <v>166</v>
      </c>
    </row>
    <row r="48" spans="1:6" x14ac:dyDescent="0.25">
      <c r="A48" s="113">
        <v>43321</v>
      </c>
      <c r="B48" s="115" t="s">
        <v>170</v>
      </c>
      <c r="C48" s="116" t="s">
        <v>165</v>
      </c>
      <c r="D48" s="114">
        <v>330</v>
      </c>
      <c r="E48" s="114">
        <v>318</v>
      </c>
      <c r="F48" s="114" t="s">
        <v>166</v>
      </c>
    </row>
    <row r="49" spans="1:6" x14ac:dyDescent="0.25">
      <c r="A49" s="117">
        <v>43238</v>
      </c>
      <c r="B49" s="119" t="s">
        <v>167</v>
      </c>
      <c r="C49" s="118" t="s">
        <v>168</v>
      </c>
      <c r="D49" s="118">
        <v>325</v>
      </c>
      <c r="E49" s="118">
        <v>325</v>
      </c>
      <c r="F49" s="118" t="s">
        <v>172</v>
      </c>
    </row>
    <row r="50" spans="1:6" x14ac:dyDescent="0.25">
      <c r="A50" s="113">
        <v>43179</v>
      </c>
      <c r="B50" s="115" t="s">
        <v>170</v>
      </c>
      <c r="C50" s="116" t="s">
        <v>165</v>
      </c>
      <c r="D50" s="114">
        <v>100</v>
      </c>
      <c r="E50" s="114">
        <v>120</v>
      </c>
      <c r="F50" s="114" t="s">
        <v>166</v>
      </c>
    </row>
    <row r="51" spans="1:6" x14ac:dyDescent="0.25">
      <c r="A51" s="117">
        <v>42983</v>
      </c>
      <c r="B51" s="119" t="s">
        <v>179</v>
      </c>
      <c r="C51" s="120" t="s">
        <v>165</v>
      </c>
      <c r="D51" s="118" t="s">
        <v>148</v>
      </c>
      <c r="E51" s="118">
        <v>330</v>
      </c>
      <c r="F51" s="118" t="s">
        <v>166</v>
      </c>
    </row>
  </sheetData>
  <hyperlinks>
    <hyperlink ref="B2" r:id="rId1" display="https://www.lse.co.uk/share-prices/broker-ratings/brokers/berenberg-bank.html" xr:uid="{CB8528E5-B392-42F2-A494-6B89E11FB1E7}"/>
    <hyperlink ref="B3" r:id="rId2" display="https://www.lse.co.uk/share-prices/broker-ratings/brokers/jp-morgan-cazenove.html" xr:uid="{08DCE623-FB9F-4991-90AD-2A588E845940}"/>
    <hyperlink ref="B4" r:id="rId3" display="https://www.lse.co.uk/share-prices/broker-ratings/brokers/berenberg-bank.html" xr:uid="{9A5C674A-00E6-4B25-8CAF-98B3F7755A14}"/>
    <hyperlink ref="B5" r:id="rId4" display="https://www.lse.co.uk/share-prices/broker-ratings/brokers/deutsche.html" xr:uid="{9E3E7480-A2C4-41C7-85DF-BE58FD1813D4}"/>
    <hyperlink ref="B6" r:id="rId5" display="https://www.lse.co.uk/share-prices/broker-ratings/brokers/berenberg-bank.html" xr:uid="{1F3EEDF4-A713-4FA8-98CE-30005304ACEC}"/>
    <hyperlink ref="B7" r:id="rId6" display="https://www.lse.co.uk/share-prices/broker-ratings/brokers/berenberg-bank.html" xr:uid="{DB15F527-89AB-4007-9151-C4F6B3C6E4DA}"/>
    <hyperlink ref="B8" r:id="rId7" display="https://www.lse.co.uk/share-prices/broker-ratings/brokers/canaccord-genuity.html" xr:uid="{58CE1955-BFFE-441F-BB26-74D48B8C83F3}"/>
    <hyperlink ref="B9" r:id="rId8" display="https://www.lse.co.uk/share-prices/broker-ratings/brokers/berenberg-bank.html" xr:uid="{2AC535BA-B1F3-4372-A731-9CD89CA4215B}"/>
    <hyperlink ref="B10" r:id="rId9" display="https://www.lse.co.uk/share-prices/broker-ratings/brokers/berenberg-bank.html" xr:uid="{DC21E183-0203-4AD4-916D-B4DDE68131CE}"/>
    <hyperlink ref="B11" r:id="rId10" display="https://www.lse.co.uk/share-prices/broker-ratings/brokers/canaccord-genuity.html" xr:uid="{3539B167-B6B9-4841-B8A3-0811B551C4A3}"/>
    <hyperlink ref="B12" r:id="rId11" display="https://www.lse.co.uk/share-prices/broker-ratings/brokers/berenberg-bank.html" xr:uid="{1E6464BE-BA4C-4DB4-99D1-1AFC0F26D87D}"/>
    <hyperlink ref="B13" r:id="rId12" display="https://www.lse.co.uk/share-prices/broker-ratings/brokers/berenberg-bank.html" xr:uid="{4DD6062E-D0D0-430A-8E0F-ED80CCD42635}"/>
    <hyperlink ref="B14" r:id="rId13" display="https://www.lse.co.uk/share-prices/broker-ratings/brokers/berenberg-bank.html" xr:uid="{DC196E0F-540B-4631-B296-F3D8FDB8778E}"/>
    <hyperlink ref="B15" r:id="rId14" display="https://www.lse.co.uk/share-prices/broker-ratings/brokers/peel-hunt-limited.html" xr:uid="{57B203D9-9567-461A-A130-BC083263F1AF}"/>
    <hyperlink ref="B16" r:id="rId15" display="https://www.lse.co.uk/share-prices/broker-ratings/brokers/peel-hunt-limited.html" xr:uid="{8EC966A5-6ACC-4AAB-9435-03E1B1607196}"/>
    <hyperlink ref="B17" r:id="rId16" display="https://www.lse.co.uk/share-prices/broker-ratings/brokers/canaccord-genuity.html" xr:uid="{EDD1E198-5C60-44F6-97DA-63E9EC236859}"/>
    <hyperlink ref="B18" r:id="rId17" display="https://www.lse.co.uk/share-prices/broker-ratings/brokers/berenberg-bank.html" xr:uid="{596FC3A8-3FDE-48D6-AF3C-1BB109FF8BBF}"/>
    <hyperlink ref="B19" r:id="rId18" display="https://www.lse.co.uk/share-prices/broker-ratings/brokers/canaccord-genuity.html" xr:uid="{52095273-6900-4552-89A4-C49CFE7392A7}"/>
    <hyperlink ref="B20" r:id="rId19" display="https://www.lse.co.uk/share-prices/broker-ratings/brokers/berenberg-bank.html" xr:uid="{4520EA1E-7AEE-4296-ACAC-8B8E74ECB628}"/>
    <hyperlink ref="B21" r:id="rId20" display="https://www.lse.co.uk/share-prices/broker-ratings/brokers/berenberg-bank.html" xr:uid="{24639800-649A-4F74-8975-E954002F5BF2}"/>
    <hyperlink ref="B22" r:id="rId21" display="https://www.lse.co.uk/share-prices/broker-ratings/brokers/berenberg-bank.html" xr:uid="{8E58D449-6C06-442D-93AE-5E422A6FFE4A}"/>
    <hyperlink ref="B23" r:id="rId22" display="https://www.lse.co.uk/share-prices/broker-ratings/brokers/peel-hunt-limited.html" xr:uid="{60451EF3-FB60-4E80-B3B8-712032C076CD}"/>
    <hyperlink ref="B24" r:id="rId23" display="https://www.lse.co.uk/share-prices/broker-ratings/brokers/canaccord-genuity.html" xr:uid="{B21DC642-3C3D-4BC8-8764-7A95D62D9AD0}"/>
    <hyperlink ref="B25" r:id="rId24" display="https://www.lse.co.uk/share-prices/broker-ratings/brokers/canaccord-genuity.html" xr:uid="{4EA68D93-9E09-4FBA-903E-4F51B5ACF81D}"/>
    <hyperlink ref="B26" r:id="rId25" display="https://www.lse.co.uk/share-prices/broker-ratings/brokers/berenberg-bank.html" xr:uid="{73FA9D82-B3AE-4EC7-AA92-A8760C69F4A3}"/>
    <hyperlink ref="B27" r:id="rId26" display="https://www.lse.co.uk/share-prices/broker-ratings/brokers/jp-morgan-cazenove.html" xr:uid="{BE82B606-E4EE-4AC2-BC47-D38E88A1C011}"/>
    <hyperlink ref="B28" r:id="rId27" display="https://www.lse.co.uk/share-prices/broker-ratings/brokers/peel-hunt-limited.html" xr:uid="{7759DED7-B450-426F-87B4-21B0805282D9}"/>
    <hyperlink ref="B29" r:id="rId28" display="https://www.lse.co.uk/share-prices/broker-ratings/brokers/numis.html" xr:uid="{3BE01224-2D25-468D-8A82-DD3444BA192E}"/>
    <hyperlink ref="B30" r:id="rId29" display="https://www.lse.co.uk/share-prices/broker-ratings/brokers/jefferies.html" xr:uid="{8559938B-3E7E-4CEF-AEED-5C822F48A4ED}"/>
    <hyperlink ref="B31" r:id="rId30" display="https://www.lse.co.uk/share-prices/broker-ratings/brokers/jp-morgan-cazenove.html" xr:uid="{D61C85FA-9B39-4ACF-B4E3-443E3B53318F}"/>
    <hyperlink ref="B32" r:id="rId31" display="https://www.lse.co.uk/share-prices/broker-ratings/brokers/deutsche.html" xr:uid="{06E6F0DE-0D1F-4E3E-853F-5BA95B125CCF}"/>
    <hyperlink ref="B33" r:id="rId32" display="https://www.lse.co.uk/share-prices/broker-ratings/brokers/canaccord-genuity.html" xr:uid="{939CF15D-321A-42DF-978A-84227C58E228}"/>
    <hyperlink ref="B34" r:id="rId33" display="https://www.lse.co.uk/share-prices/broker-ratings/brokers/canaccord-genuity.html" xr:uid="{6EBC6D2D-3E3B-4EB5-B368-F744E4D66EC0}"/>
    <hyperlink ref="B35" r:id="rId34" display="https://www.lse.co.uk/share-prices/broker-ratings/brokers/peel-hunt-limited.html" xr:uid="{AB326596-7A39-4A2C-B9F9-B900E2319E26}"/>
    <hyperlink ref="B36" r:id="rId35" display="https://www.lse.co.uk/share-prices/broker-ratings/brokers/canaccord-genuity.html" xr:uid="{ADEC6618-40CD-4588-9C95-D2812C46B794}"/>
    <hyperlink ref="B37" r:id="rId36" display="https://www.lse.co.uk/share-prices/broker-ratings/brokers/numis.html" xr:uid="{7EF77ACD-50AF-4F7C-9EF4-AA7C10809C97}"/>
    <hyperlink ref="B38" r:id="rId37" display="https://www.lse.co.uk/share-prices/broker-ratings/brokers/canaccord-genuity.html" xr:uid="{1B366A07-A535-4E90-96BE-09515C88FFF5}"/>
    <hyperlink ref="B39" r:id="rId38" display="https://www.lse.co.uk/share-prices/broker-ratings/brokers/canaccord-genuity.html" xr:uid="{6100D78B-B352-45F4-A1A3-EC0379A510DE}"/>
    <hyperlink ref="B40" r:id="rId39" display="https://www.lse.co.uk/share-prices/broker-ratings/brokers/canaccord-genuity.html" xr:uid="{3BAB6824-128A-4979-AEA7-0E31A6215FC7}"/>
    <hyperlink ref="B41" r:id="rId40" display="https://www.lse.co.uk/share-prices/broker-ratings/brokers/numis.html" xr:uid="{DB985861-547F-45AE-ADB4-A9F1E75E6ACA}"/>
    <hyperlink ref="B42" r:id="rId41" display="https://www.lse.co.uk/share-prices/broker-ratings/brokers/canaccord-genuity.html" xr:uid="{74D86C0B-FA29-41DE-97B6-C0A83EC5DFD2}"/>
    <hyperlink ref="B43" r:id="rId42" display="https://www.lse.co.uk/share-prices/broker-ratings/brokers/canaccord-genuity.html" xr:uid="{FEC2C793-EDED-4072-AAA4-F29E7FDD372C}"/>
    <hyperlink ref="B44" r:id="rId43" display="https://www.lse.co.uk/share-prices/broker-ratings/brokers/canaccord-genuity.html" xr:uid="{71B244D5-F356-40FE-A0EF-74CE55F897CF}"/>
    <hyperlink ref="B45" r:id="rId44" display="https://www.lse.co.uk/share-prices/broker-ratings/brokers/numis.html" xr:uid="{221CFFCB-2548-4AEA-ABD2-F5045CDB1464}"/>
    <hyperlink ref="B46" r:id="rId45" display="https://www.lse.co.uk/share-prices/broker-ratings/brokers/canaccord-genuity.html" xr:uid="{41C32740-1C10-4591-9E21-FF4444810075}"/>
    <hyperlink ref="B47" r:id="rId46" display="https://www.lse.co.uk/share-prices/broker-ratings/brokers/peel-hunt-limited.html" xr:uid="{E3BF3DC8-62B3-4F76-A062-BF66EC19A4D9}"/>
    <hyperlink ref="B48" r:id="rId47" display="https://www.lse.co.uk/share-prices/broker-ratings/brokers/canaccord-genuity.html" xr:uid="{41876071-83FE-4B1B-A05F-8813726CDD6C}"/>
    <hyperlink ref="B49" r:id="rId48" display="https://www.lse.co.uk/share-prices/broker-ratings/brokers/jp-morgan-cazenove.html" xr:uid="{76B91328-DE8A-4FFA-97EA-E50254B8EF53}"/>
    <hyperlink ref="B50" r:id="rId49" display="https://www.lse.co.uk/share-prices/broker-ratings/brokers/canaccord-genuity.html" xr:uid="{D85D1D5B-9EA4-4C3E-A286-1FC0B81758A7}"/>
    <hyperlink ref="B51" r:id="rId50" display="https://www.lse.co.uk/share-prices/broker-ratings/brokers/bryan-garnier-co.html" xr:uid="{3A41A9C5-7A96-409A-9434-846294DFAAB2}"/>
  </hyperlinks>
  <pageMargins left="0.7" right="0.7" top="0.75" bottom="0.75" header="0.3" footer="0.3"/>
  <pageSetup paperSize="256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Broker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2022-05-19T17:47:56Z</dcterms:created>
  <dcterms:modified xsi:type="dcterms:W3CDTF">2023-01-31T14:04:18Z</dcterms:modified>
</cp:coreProperties>
</file>