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194316B5-D36F-466A-95DF-DB3548B5177B}" xr6:coauthVersionLast="47" xr6:coauthVersionMax="47" xr10:uidLastSave="{00000000-0000-0000-0000-000000000000}"/>
  <bookViews>
    <workbookView xWindow="-120" yWindow="-120" windowWidth="29040" windowHeight="15720" xr2:uid="{DBE68CB9-300E-47C4-9167-EEEEB7AE9C6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C10" i="1"/>
  <c r="C9" i="1"/>
  <c r="C34" i="1"/>
  <c r="I69" i="2"/>
  <c r="I68" i="2"/>
  <c r="I63" i="2"/>
  <c r="I66" i="2" s="1"/>
  <c r="I72" i="2"/>
  <c r="I71" i="2"/>
  <c r="I56" i="2"/>
  <c r="E40" i="2"/>
  <c r="E39" i="2"/>
  <c r="E38" i="2"/>
  <c r="E37" i="2"/>
  <c r="I40" i="2"/>
  <c r="I39" i="2"/>
  <c r="I38" i="2"/>
  <c r="E31" i="2"/>
  <c r="E28" i="2"/>
  <c r="H25" i="2"/>
  <c r="G25" i="2"/>
  <c r="G27" i="2" s="1"/>
  <c r="G30" i="2" s="1"/>
  <c r="F25" i="2"/>
  <c r="E25" i="2"/>
  <c r="D25" i="2"/>
  <c r="C25" i="2"/>
  <c r="H30" i="2"/>
  <c r="H27" i="2"/>
  <c r="F27" i="2"/>
  <c r="F30" i="2" s="1"/>
  <c r="E27" i="2"/>
  <c r="E30" i="2" s="1"/>
  <c r="D27" i="2"/>
  <c r="D30" i="2" s="1"/>
  <c r="C27" i="2"/>
  <c r="C30" i="2" s="1"/>
  <c r="H24" i="2"/>
  <c r="G24" i="2"/>
  <c r="F24" i="2"/>
  <c r="E24" i="2"/>
  <c r="D24" i="2"/>
  <c r="C24" i="2"/>
  <c r="H20" i="2"/>
  <c r="G20" i="2"/>
  <c r="F20" i="2"/>
  <c r="D20" i="2"/>
  <c r="C20" i="2"/>
  <c r="H11" i="2"/>
  <c r="G11" i="2"/>
  <c r="F11" i="2"/>
  <c r="D11" i="2"/>
  <c r="C11" i="2"/>
  <c r="H9" i="2"/>
  <c r="G9" i="2"/>
  <c r="F9" i="2"/>
  <c r="E9" i="2"/>
  <c r="E11" i="2" s="1"/>
  <c r="E20" i="2" s="1"/>
  <c r="D9" i="2"/>
  <c r="C9" i="2"/>
  <c r="I24" i="2"/>
  <c r="I9" i="2"/>
  <c r="I11" i="2" s="1"/>
  <c r="I37" i="2" s="1"/>
  <c r="C8" i="1"/>
  <c r="C11" i="1" l="1"/>
  <c r="C12" i="1" s="1"/>
  <c r="I73" i="2"/>
  <c r="I20" i="2"/>
  <c r="I25" i="2" s="1"/>
  <c r="I27" i="2" s="1"/>
  <c r="I28" i="2" l="1"/>
  <c r="I30" i="2"/>
  <c r="I31" i="2" s="1"/>
</calcChain>
</file>

<file path=xl/sharedStrings.xml><?xml version="1.0" encoding="utf-8"?>
<sst xmlns="http://schemas.openxmlformats.org/spreadsheetml/2006/main" count="121" uniqueCount="110">
  <si>
    <t>$FTAI</t>
  </si>
  <si>
    <t>FTAI Aviation Ltd.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</si>
  <si>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</si>
  <si>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</si>
  <si>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</si>
  <si>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</si>
  <si>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</si>
  <si>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</si>
  <si>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</si>
  <si>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</si>
  <si>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</si>
  <si>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</si>
  <si>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</si>
  <si>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</si>
  <si>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</si>
  <si>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Key Events</t>
  </si>
  <si>
    <t>Profile</t>
  </si>
  <si>
    <t>HQ</t>
  </si>
  <si>
    <t>Founded</t>
  </si>
  <si>
    <t>IPO</t>
  </si>
  <si>
    <t>Cust.</t>
  </si>
  <si>
    <t>IR</t>
  </si>
  <si>
    <t>Update</t>
  </si>
  <si>
    <t>Valuation Metrics</t>
  </si>
  <si>
    <t>P/B</t>
  </si>
  <si>
    <t>P/S</t>
  </si>
  <si>
    <t>EV/S</t>
  </si>
  <si>
    <t>P/E</t>
  </si>
  <si>
    <t>EV/E</t>
  </si>
  <si>
    <t>Owns &amp; maintains commercial jet engines for lease/maintenance. Primarily CFM56 &amp; V2500 engines. Also leases aircraft</t>
  </si>
  <si>
    <t>Share price crashed 30% after claims made by short-seller Muddy Waters Research</t>
  </si>
  <si>
    <t>FTAI announce their audit committee would investigate claims of financial irregularities made by MWR</t>
  </si>
  <si>
    <t>MUDDY WATERS RESEARCH REPORT</t>
  </si>
  <si>
    <t>Joseph Adams Jr.</t>
  </si>
  <si>
    <t>Ms. Eun Nam</t>
  </si>
  <si>
    <t>David Moreno</t>
  </si>
  <si>
    <t>Alan John Adreini</t>
  </si>
  <si>
    <t>Born</t>
  </si>
  <si>
    <t>NYC, New York</t>
  </si>
  <si>
    <t>Inventory</t>
  </si>
  <si>
    <t>Commercial AC</t>
  </si>
  <si>
    <t>Engines</t>
  </si>
  <si>
    <t>Russia AC</t>
  </si>
  <si>
    <t>Russia Engine</t>
  </si>
  <si>
    <t>Q324</t>
  </si>
  <si>
    <t>Oct-30-24</t>
  </si>
  <si>
    <t>Lease Income</t>
  </si>
  <si>
    <t>Maintenance Revenue</t>
  </si>
  <si>
    <t>Asset Sales Revenue</t>
  </si>
  <si>
    <t>Aerospace Revenue</t>
  </si>
  <si>
    <t>Other Revenue</t>
  </si>
  <si>
    <t>Revenue</t>
  </si>
  <si>
    <t>COGS</t>
  </si>
  <si>
    <t>Gross Profit</t>
  </si>
  <si>
    <t>Operaitng Expenses</t>
  </si>
  <si>
    <t>G&amp;A</t>
  </si>
  <si>
    <t>Acquisition &amp; Transactions</t>
  </si>
  <si>
    <t>Management Fees</t>
  </si>
  <si>
    <t>Internationalization Fee</t>
  </si>
  <si>
    <t>D&amp;A</t>
  </si>
  <si>
    <t>Asset Impairment</t>
  </si>
  <si>
    <t>Interest Expense</t>
  </si>
  <si>
    <t>Other Income</t>
  </si>
  <si>
    <t>Equity in earnings of unconsolidated entities</t>
  </si>
  <si>
    <t>Loss on extinguishment of debt</t>
  </si>
  <si>
    <t>Total Other Income</t>
  </si>
  <si>
    <t>Pretax Income</t>
  </si>
  <si>
    <t>Taxes</t>
  </si>
  <si>
    <t>Net Income</t>
  </si>
  <si>
    <t>EPS</t>
  </si>
  <si>
    <t>Operating Income</t>
  </si>
  <si>
    <t>Revenue Y/Y</t>
  </si>
  <si>
    <t>Revenue Q/Q</t>
  </si>
  <si>
    <t>Gross Marign</t>
  </si>
  <si>
    <t>Operating Margin</t>
  </si>
  <si>
    <t>Net Margin</t>
  </si>
  <si>
    <t>Tax Rate</t>
  </si>
  <si>
    <t>Q124</t>
  </si>
  <si>
    <t>Q224</t>
  </si>
  <si>
    <t>Q423</t>
  </si>
  <si>
    <t>Q323</t>
  </si>
  <si>
    <t>Q223</t>
  </si>
  <si>
    <t>Q123</t>
  </si>
  <si>
    <t>Q424</t>
  </si>
  <si>
    <t>Q125</t>
  </si>
  <si>
    <t>Pref. Shares Dividend Cost</t>
  </si>
  <si>
    <t>Net Income (Less Pref Shares Dividend)</t>
  </si>
  <si>
    <t>EPS (Less Pref Shares Dividend)</t>
  </si>
  <si>
    <t>Balance Sheet</t>
  </si>
  <si>
    <t>Restricted Cash</t>
  </si>
  <si>
    <t>A/R</t>
  </si>
  <si>
    <t>Leasing Equipment</t>
  </si>
  <si>
    <t>PP&amp;E</t>
  </si>
  <si>
    <t>Investments</t>
  </si>
  <si>
    <t>Intangibles</t>
  </si>
  <si>
    <t>Assets Held for Sale</t>
  </si>
  <si>
    <t>Goodwill</t>
  </si>
  <si>
    <t>Other Assets</t>
  </si>
  <si>
    <t>Assets</t>
  </si>
  <si>
    <t>A/P</t>
  </si>
  <si>
    <t>Maintenance Deposits</t>
  </si>
  <si>
    <t>Security Deposits</t>
  </si>
  <si>
    <t>Debt, Net</t>
  </si>
  <si>
    <t>Other Liabilities</t>
  </si>
  <si>
    <t xml:space="preserve">Liabilities </t>
  </si>
  <si>
    <t>S/E</t>
  </si>
  <si>
    <t>S/E+L</t>
  </si>
  <si>
    <t>Book Value</t>
  </si>
  <si>
    <t>Book Value per Share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</si>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</sst>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3" fillId="0" borderId="0" xfId="0" applyNumberFormat="1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0" borderId="0" xfId="1" applyFont="1"/>
    <xf numFmtId="0" fontId="8" fillId="0" borderId="0" xfId="0" applyFont="1"/>
    <xf numFmtId="0" fontId="6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9" fillId="0" borderId="0" xfId="0" applyFont="1"/>
    <xf numFmtId="9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9" fillId="0" borderId="0" xfId="0" applyNumberFormat="1" applyFont="1" applyAlignment="1">
      <alignment horizontal="left" indent="1"/>
    </xf>
    <xf numFmtId="1" fontId="9" fillId="0" borderId="0" xfId="0" applyNumberFormat="1" applyFont="1"/>
    <xf numFmtId="0" fontId="10" fillId="0" borderId="0" xfId="0" applyFont="1"/>
    <xf numFmtId="3" fontId="2" fillId="0" borderId="0" xfId="0" applyNumberFormat="1" applyFont="1"/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66675</xdr:rowOff>
    </xdr:from>
    <xdr:to>
      <xdr:col>4</xdr:col>
      <xdr:colOff>361950</xdr:colOff>
      <xdr:row>3</xdr:row>
      <xdr:rowOff>57150</xdr:rowOff>
    </xdr:to>
    <xdr:pic>
      <xdr:nvPicPr>
        <xdr:cNvPr id="2" name="Picture 1" descr="FTAI Aviation | LinkedIn">
          <a:extLst>
            <a:ext uri="{FF2B5EF4-FFF2-40B4-BE49-F238E27FC236}">
              <a16:creationId xmlns:a16="http://schemas.microsoft.com/office/drawing/2014/main" id="{426E75FC-048D-1672-3D88-2360052E32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58" b="23958"/>
        <a:stretch/>
      </xdr:blipFill>
      <xdr:spPr bwMode="auto">
        <a:xfrm>
          <a:off x="1885950" y="66675"/>
          <a:ext cx="9144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.ftaiaviation.com/" TargetMode="External"/><Relationship Id="rId1" Type="http://schemas.openxmlformats.org/officeDocument/2006/relationships/hyperlink" Target="https://muddywatersresearch.com/research/2025/mw-short-01152025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Archives/edgar/data/1590364/000114036124044632/ef20037888_ex99-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0F48-91DC-4860-9DF2-9BA74D380386}">
  <dimension ref="A2:V39"/>
  <sheetViews>
    <sheetView tabSelected="1" workbookViewId="0">
      <selection activeCell="C30" sqref="C30:D30"/>
    </sheetView>
  </sheetViews>
  <sheetFormatPr defaultRowHeight="12.75" x14ac:dyDescent="0.2"/>
  <cols>
    <col min="1" max="16384" width="9.140625" style="1"/>
  </cols>
  <sheetData>
    <row r="2" spans="1:22" x14ac:dyDescent="0.2">
      <c r="B2" s="2" t="s">
        <v>0</v>
      </c>
      <c r="G2" s="1" t="s">
        <v>29</v>
      </c>
    </row>
    <row r="3" spans="1:22" x14ac:dyDescent="0.2">
      <c r="B3" s="2" t="s">
        <v>1</v>
      </c>
    </row>
    <row r="5" spans="1:22" x14ac:dyDescent="0.2">
      <c r="B5" s="4" t="s">
        <v>2</v>
      </c>
      <c r="C5" s="5"/>
      <c r="D5" s="6"/>
      <c r="G5" s="4" t="s">
        <v>15</v>
      </c>
      <c r="H5" s="5"/>
      <c r="I5" s="5"/>
      <c r="J5" s="5"/>
      <c r="K5" s="5"/>
      <c r="L5" s="5"/>
      <c r="M5" s="5"/>
      <c r="N5" s="5"/>
      <c r="O5" s="5"/>
      <c r="P5" s="5"/>
      <c r="Q5" s="6"/>
    </row>
    <row r="6" spans="1:22" x14ac:dyDescent="0.2">
      <c r="B6" s="13" t="s">
        <v>3</v>
      </c>
      <c r="C6" s="14">
        <v>109.6</v>
      </c>
      <c r="D6" s="15"/>
      <c r="G6" s="26"/>
      <c r="H6" s="20"/>
      <c r="I6" s="20"/>
      <c r="J6" s="20"/>
      <c r="K6" s="20"/>
      <c r="L6" s="20"/>
      <c r="M6" s="20"/>
      <c r="N6" s="20"/>
      <c r="O6" s="20"/>
      <c r="P6" s="20"/>
      <c r="Q6" s="21"/>
      <c r="T6" s="34" t="s">
        <v>32</v>
      </c>
    </row>
    <row r="7" spans="1:22" x14ac:dyDescent="0.2">
      <c r="B7" s="13" t="s">
        <v>4</v>
      </c>
      <c r="C7" s="16">
        <v>103</v>
      </c>
      <c r="D7" s="15" t="str">
        <f>+$C$29</f>
        <v>Q324</v>
      </c>
      <c r="G7" s="26"/>
      <c r="H7" s="20"/>
      <c r="I7" s="20"/>
      <c r="J7" s="20"/>
      <c r="K7" s="20"/>
      <c r="L7" s="20"/>
      <c r="M7" s="20"/>
      <c r="N7" s="20"/>
      <c r="O7" s="20"/>
      <c r="P7" s="20"/>
      <c r="Q7" s="21"/>
    </row>
    <row r="8" spans="1:22" x14ac:dyDescent="0.2">
      <c r="B8" s="13" t="s">
        <v>5</v>
      </c>
      <c r="C8" s="16">
        <f>C6*C7</f>
        <v>11288.8</v>
      </c>
      <c r="D8" s="15"/>
      <c r="G8" s="26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1:22" x14ac:dyDescent="0.2">
      <c r="B9" s="13" t="s">
        <v>6</v>
      </c>
      <c r="C9" s="16">
        <f>+'Financial Model'!I71</f>
        <v>131.48600000000002</v>
      </c>
      <c r="D9" s="15" t="str">
        <f>+$C$29</f>
        <v>Q324</v>
      </c>
      <c r="G9" s="26"/>
      <c r="H9" s="20"/>
      <c r="I9" s="20"/>
      <c r="J9" s="20"/>
      <c r="K9" s="20"/>
      <c r="L9" s="20"/>
      <c r="M9" s="20"/>
      <c r="N9" s="20"/>
      <c r="O9" s="20"/>
      <c r="P9" s="20"/>
      <c r="Q9" s="21"/>
      <c r="T9" s="2" t="s">
        <v>39</v>
      </c>
    </row>
    <row r="10" spans="1:22" x14ac:dyDescent="0.2">
      <c r="B10" s="13" t="s">
        <v>7</v>
      </c>
      <c r="C10" s="16">
        <f>+'Financial Model'!I72</f>
        <v>3218.3429999999998</v>
      </c>
      <c r="D10" s="15" t="str">
        <f>+$C$29</f>
        <v>Q324</v>
      </c>
      <c r="G10" s="32">
        <v>44197</v>
      </c>
      <c r="H10" s="20" t="s">
        <v>30</v>
      </c>
      <c r="I10" s="20"/>
      <c r="J10" s="20"/>
      <c r="K10" s="20"/>
      <c r="L10" s="20"/>
      <c r="M10" s="20"/>
      <c r="N10" s="20"/>
      <c r="O10" s="20"/>
      <c r="P10" s="20"/>
      <c r="Q10" s="21"/>
      <c r="T10" s="1" t="s">
        <v>40</v>
      </c>
      <c r="V10" s="1">
        <v>96</v>
      </c>
    </row>
    <row r="11" spans="1:22" x14ac:dyDescent="0.2">
      <c r="B11" s="13" t="s">
        <v>8</v>
      </c>
      <c r="C11" s="16">
        <f>C9-C10</f>
        <v>-3086.857</v>
      </c>
      <c r="D11" s="15" t="str">
        <f>+$C$29</f>
        <v>Q324</v>
      </c>
      <c r="G11" s="26"/>
      <c r="H11" s="33" t="s">
        <v>31</v>
      </c>
      <c r="I11" s="20"/>
      <c r="J11" s="20"/>
      <c r="K11" s="20"/>
      <c r="L11" s="20"/>
      <c r="M11" s="20"/>
      <c r="N11" s="20"/>
      <c r="O11" s="20"/>
      <c r="P11" s="20"/>
      <c r="Q11" s="21"/>
      <c r="T11" s="1" t="s">
        <v>41</v>
      </c>
      <c r="V11" s="1">
        <v>267</v>
      </c>
    </row>
    <row r="12" spans="1:22" x14ac:dyDescent="0.2">
      <c r="B12" s="17" t="s">
        <v>9</v>
      </c>
      <c r="C12" s="18">
        <f>C8-C11</f>
        <v>14375.656999999999</v>
      </c>
      <c r="D12" s="19"/>
      <c r="G12" s="26"/>
      <c r="H12" s="20"/>
      <c r="I12" s="20"/>
      <c r="J12" s="20"/>
      <c r="K12" s="20"/>
      <c r="L12" s="20"/>
      <c r="M12" s="20"/>
      <c r="N12" s="20"/>
      <c r="O12" s="20"/>
      <c r="P12" s="20"/>
      <c r="Q12" s="21"/>
    </row>
    <row r="13" spans="1:22" x14ac:dyDescent="0.2">
      <c r="G13" s="26"/>
      <c r="H13" s="20"/>
      <c r="I13" s="20"/>
      <c r="J13" s="20"/>
      <c r="K13" s="20"/>
      <c r="L13" s="20"/>
      <c r="M13" s="20"/>
      <c r="N13" s="20"/>
      <c r="O13" s="20"/>
      <c r="P13" s="20"/>
      <c r="Q13" s="21"/>
      <c r="T13" s="35" t="s">
        <v>42</v>
      </c>
      <c r="U13" s="35"/>
      <c r="V13" s="35">
        <v>8</v>
      </c>
    </row>
    <row r="14" spans="1:22" x14ac:dyDescent="0.2"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1"/>
      <c r="T14" s="35" t="s">
        <v>43</v>
      </c>
      <c r="U14" s="35"/>
      <c r="V14" s="35">
        <v>17</v>
      </c>
    </row>
    <row r="15" spans="1:22" x14ac:dyDescent="0.2">
      <c r="B15" s="4" t="s">
        <v>10</v>
      </c>
      <c r="C15" s="5"/>
      <c r="D15" s="6"/>
      <c r="E15" s="28" t="s">
        <v>37</v>
      </c>
      <c r="G15" s="26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spans="1:22" x14ac:dyDescent="0.2">
      <c r="A16" s="1" t="s">
        <v>14</v>
      </c>
      <c r="B16" s="7" t="s">
        <v>11</v>
      </c>
      <c r="C16" s="8" t="s">
        <v>33</v>
      </c>
      <c r="D16" s="9"/>
      <c r="E16" s="1">
        <v>1958</v>
      </c>
      <c r="G16" s="26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spans="2:17" x14ac:dyDescent="0.2">
      <c r="B17" s="7" t="s">
        <v>12</v>
      </c>
      <c r="C17" s="8" t="s">
        <v>34</v>
      </c>
      <c r="D17" s="9"/>
      <c r="E17" s="1">
        <v>1982</v>
      </c>
      <c r="G17" s="26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spans="2:17" x14ac:dyDescent="0.2">
      <c r="B18" s="7" t="s">
        <v>13</v>
      </c>
      <c r="C18" s="8" t="s">
        <v>35</v>
      </c>
      <c r="D18" s="9"/>
      <c r="G18" s="26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2:17" x14ac:dyDescent="0.2">
      <c r="B19" s="10" t="s">
        <v>21</v>
      </c>
      <c r="C19" s="11" t="s">
        <v>36</v>
      </c>
      <c r="D19" s="12"/>
      <c r="E19" s="1">
        <v>1947</v>
      </c>
      <c r="G19" s="26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spans="2:17" x14ac:dyDescent="0.2">
      <c r="G20" s="26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spans="2:17" x14ac:dyDescent="0.2">
      <c r="G21" s="26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2:17" x14ac:dyDescent="0.2">
      <c r="B22" s="4" t="s">
        <v>16</v>
      </c>
      <c r="C22" s="5"/>
      <c r="D22" s="6"/>
      <c r="G22" s="26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3" spans="2:17" x14ac:dyDescent="0.2">
      <c r="B23" s="26" t="s">
        <v>17</v>
      </c>
      <c r="C23" s="8" t="s">
        <v>38</v>
      </c>
      <c r="D23" s="9"/>
      <c r="G23" s="26"/>
      <c r="H23" s="20"/>
      <c r="I23" s="20"/>
      <c r="J23" s="20"/>
      <c r="K23" s="20"/>
      <c r="L23" s="20"/>
      <c r="M23" s="20"/>
      <c r="N23" s="20"/>
      <c r="O23" s="20"/>
      <c r="P23" s="20"/>
      <c r="Q23" s="21"/>
    </row>
    <row r="24" spans="2:17" x14ac:dyDescent="0.2">
      <c r="B24" s="26" t="s">
        <v>18</v>
      </c>
      <c r="C24" s="8">
        <v>2011</v>
      </c>
      <c r="D24" s="9"/>
      <c r="G24" s="26"/>
      <c r="H24" s="20"/>
      <c r="I24" s="20"/>
      <c r="J24" s="20"/>
      <c r="K24" s="20"/>
      <c r="L24" s="20"/>
      <c r="M24" s="20"/>
      <c r="N24" s="20"/>
      <c r="O24" s="20"/>
      <c r="P24" s="20"/>
      <c r="Q24" s="21"/>
    </row>
    <row r="25" spans="2:17" x14ac:dyDescent="0.2">
      <c r="B25" s="26" t="s">
        <v>19</v>
      </c>
      <c r="C25" s="8">
        <v>2015</v>
      </c>
      <c r="D25" s="9"/>
      <c r="G25" s="26"/>
      <c r="H25" s="20"/>
      <c r="I25" s="20"/>
      <c r="J25" s="20"/>
      <c r="K25" s="20"/>
      <c r="L25" s="20"/>
      <c r="M25" s="20"/>
      <c r="N25" s="20"/>
      <c r="O25" s="20"/>
      <c r="P25" s="20"/>
      <c r="Q25" s="21"/>
    </row>
    <row r="26" spans="2:17" x14ac:dyDescent="0.2">
      <c r="B26" s="26"/>
      <c r="C26" s="24"/>
      <c r="D26" s="25"/>
      <c r="G26" s="26"/>
      <c r="H26" s="20"/>
      <c r="I26" s="20"/>
      <c r="J26" s="20"/>
      <c r="K26" s="20"/>
      <c r="L26" s="20"/>
      <c r="M26" s="20"/>
      <c r="N26" s="20"/>
      <c r="O26" s="20"/>
      <c r="P26" s="20"/>
      <c r="Q26" s="21"/>
    </row>
    <row r="27" spans="2:17" x14ac:dyDescent="0.2">
      <c r="B27" s="26" t="s">
        <v>20</v>
      </c>
      <c r="C27" s="24"/>
      <c r="D27" s="25"/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2:17" x14ac:dyDescent="0.2">
      <c r="B28" s="26"/>
      <c r="C28" s="24"/>
      <c r="D28" s="25"/>
    </row>
    <row r="29" spans="2:17" x14ac:dyDescent="0.2">
      <c r="B29" s="26" t="s">
        <v>22</v>
      </c>
      <c r="C29" s="24" t="s">
        <v>44</v>
      </c>
      <c r="D29" s="49">
        <v>11232</v>
      </c>
    </row>
    <row r="30" spans="2:17" x14ac:dyDescent="0.2">
      <c r="B30" s="27" t="s">
        <v>21</v>
      </c>
      <c r="C30" s="50" t="s">
        <v>109</v>
      </c>
      <c r="D30" s="51"/>
    </row>
    <row r="33" spans="2:4" x14ac:dyDescent="0.2">
      <c r="B33" s="4" t="s">
        <v>23</v>
      </c>
      <c r="C33" s="5"/>
      <c r="D33" s="6"/>
    </row>
    <row r="34" spans="2:4" x14ac:dyDescent="0.2">
      <c r="B34" s="26" t="s">
        <v>24</v>
      </c>
      <c r="C34" s="47">
        <f>+C6/'Financial Model'!I69</f>
        <v>94.665746181621358</v>
      </c>
      <c r="D34" s="48"/>
    </row>
    <row r="35" spans="2:4" x14ac:dyDescent="0.2">
      <c r="B35" s="26" t="s">
        <v>25</v>
      </c>
      <c r="C35" s="8"/>
      <c r="D35" s="9"/>
    </row>
    <row r="36" spans="2:4" x14ac:dyDescent="0.2">
      <c r="B36" s="26" t="s">
        <v>26</v>
      </c>
      <c r="C36" s="8"/>
      <c r="D36" s="9"/>
    </row>
    <row r="37" spans="2:4" x14ac:dyDescent="0.2">
      <c r="B37" s="26" t="s">
        <v>27</v>
      </c>
      <c r="C37" s="8"/>
      <c r="D37" s="9"/>
    </row>
    <row r="38" spans="2:4" x14ac:dyDescent="0.2">
      <c r="B38" s="26" t="s">
        <v>28</v>
      </c>
      <c r="C38" s="8"/>
      <c r="D38" s="9"/>
    </row>
    <row r="39" spans="2:4" x14ac:dyDescent="0.2">
      <c r="B39" s="26"/>
      <c r="C39" s="8"/>
      <c r="D39" s="9"/>
    </row>
  </sheetData>
  <mergeCells count="19">
    <mergeCell ref="C36:D36"/>
    <mergeCell ref="C37:D37"/>
    <mergeCell ref="C38:D38"/>
    <mergeCell ref="C39:D39"/>
    <mergeCell ref="C24:D24"/>
    <mergeCell ref="C25:D25"/>
    <mergeCell ref="C30:D30"/>
    <mergeCell ref="B22:D22"/>
    <mergeCell ref="C23:D23"/>
    <mergeCell ref="B33:D33"/>
    <mergeCell ref="C34:D34"/>
    <mergeCell ref="C35:D35"/>
    <mergeCell ref="G5:Q5"/>
    <mergeCell ref="B5:D5"/>
    <mergeCell ref="B15:D15"/>
    <mergeCell ref="C16:D16"/>
    <mergeCell ref="C17:D17"/>
    <mergeCell ref="C18:D18"/>
    <mergeCell ref="C19:D19"/>
  </mergeCells>
  <hyperlinks>
    <hyperlink ref="T6" r:id="rId1" xr:uid="{6416B8FA-CE4B-4D5D-AD00-109168CF956E}"/>
    <hyperlink ref="C30:D30" r:id="rId2" display="Link" xr:uid="{1DB3B10F-ED32-44F8-A109-D77F268F3E25}"/>
  </hyperlinks>
  <pageMargins left="0.7" right="0.7" top="0.75" bottom="0.75" header="0.3" footer="0.3"/>
  <pageSetup paperSize="0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48AD-5AE2-400F-9208-297F5B72C742}">
  <dimension ref="B1:K7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RowHeight="12.75" x14ac:dyDescent="0.2"/>
  <cols>
    <col min="1" max="1" width="4.28515625" style="1" customWidth="1"/>
    <col min="2" max="2" width="38.42578125" style="1" bestFit="1" customWidth="1"/>
    <col min="3" max="16384" width="9.140625" style="1"/>
  </cols>
  <sheetData>
    <row r="1" spans="2:11" s="28" customFormat="1" x14ac:dyDescent="0.2">
      <c r="C1" s="28" t="s">
        <v>82</v>
      </c>
      <c r="D1" s="28" t="s">
        <v>81</v>
      </c>
      <c r="E1" s="28" t="s">
        <v>80</v>
      </c>
      <c r="F1" s="28" t="s">
        <v>79</v>
      </c>
      <c r="G1" s="28" t="s">
        <v>77</v>
      </c>
      <c r="H1" s="28" t="s">
        <v>78</v>
      </c>
      <c r="I1" s="36" t="s">
        <v>44</v>
      </c>
      <c r="J1" s="28" t="s">
        <v>83</v>
      </c>
      <c r="K1" s="28" t="s">
        <v>84</v>
      </c>
    </row>
    <row r="2" spans="2:11" s="29" customFormat="1" x14ac:dyDescent="0.2">
      <c r="B2" s="30"/>
      <c r="I2" s="37">
        <v>45565</v>
      </c>
    </row>
    <row r="3" spans="2:11" s="29" customFormat="1" x14ac:dyDescent="0.2">
      <c r="B3" s="30"/>
      <c r="I3" s="29" t="s">
        <v>45</v>
      </c>
      <c r="K3" s="31"/>
    </row>
    <row r="4" spans="2:11" s="44" customFormat="1" x14ac:dyDescent="0.2">
      <c r="B4" s="43" t="s">
        <v>46</v>
      </c>
      <c r="E4" s="44">
        <v>45.622</v>
      </c>
      <c r="I4" s="44">
        <v>65.45</v>
      </c>
    </row>
    <row r="5" spans="2:11" s="44" customFormat="1" x14ac:dyDescent="0.2">
      <c r="B5" s="43" t="s">
        <v>47</v>
      </c>
      <c r="E5" s="44">
        <v>63.924999999999997</v>
      </c>
      <c r="I5" s="44">
        <v>59.917000000000002</v>
      </c>
    </row>
    <row r="6" spans="2:11" s="44" customFormat="1" x14ac:dyDescent="0.2">
      <c r="B6" s="43" t="s">
        <v>48</v>
      </c>
      <c r="E6" s="44">
        <v>61.4</v>
      </c>
      <c r="I6" s="44">
        <v>34.953000000000003</v>
      </c>
    </row>
    <row r="7" spans="2:11" s="44" customFormat="1" x14ac:dyDescent="0.2">
      <c r="B7" s="43" t="s">
        <v>49</v>
      </c>
      <c r="E7" s="44">
        <v>118.675</v>
      </c>
      <c r="I7" s="44">
        <v>303.46899999999999</v>
      </c>
    </row>
    <row r="8" spans="2:11" s="44" customFormat="1" x14ac:dyDescent="0.2">
      <c r="B8" s="43" t="s">
        <v>50</v>
      </c>
      <c r="E8" s="44">
        <v>1.474</v>
      </c>
      <c r="I8" s="44">
        <v>2.0049999999999999</v>
      </c>
    </row>
    <row r="9" spans="2:11" s="42" customFormat="1" x14ac:dyDescent="0.2">
      <c r="B9" s="42" t="s">
        <v>51</v>
      </c>
      <c r="C9" s="42">
        <f t="shared" ref="C9:H9" si="0">+SUM(C4:C8)</f>
        <v>0</v>
      </c>
      <c r="D9" s="42">
        <f t="shared" si="0"/>
        <v>0</v>
      </c>
      <c r="E9" s="42">
        <f t="shared" si="0"/>
        <v>291.096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>+SUM(I4:I8)</f>
        <v>465.79399999999998</v>
      </c>
    </row>
    <row r="10" spans="2:11" s="41" customFormat="1" x14ac:dyDescent="0.2">
      <c r="B10" s="41" t="s">
        <v>52</v>
      </c>
      <c r="E10" s="41">
        <v>116.70699999999999</v>
      </c>
      <c r="I10" s="41">
        <v>219.49600000000001</v>
      </c>
    </row>
    <row r="11" spans="2:11" s="42" customFormat="1" x14ac:dyDescent="0.2">
      <c r="B11" s="42" t="s">
        <v>53</v>
      </c>
      <c r="C11" s="42">
        <f t="shared" ref="C11:H11" si="1">C9-C10</f>
        <v>0</v>
      </c>
      <c r="D11" s="42">
        <f t="shared" si="1"/>
        <v>0</v>
      </c>
      <c r="E11" s="42">
        <f t="shared" si="1"/>
        <v>174.38900000000001</v>
      </c>
      <c r="F11" s="42">
        <f t="shared" si="1"/>
        <v>0</v>
      </c>
      <c r="G11" s="42">
        <f t="shared" si="1"/>
        <v>0</v>
      </c>
      <c r="H11" s="42">
        <f t="shared" si="1"/>
        <v>0</v>
      </c>
      <c r="I11" s="42">
        <f>I9-I10</f>
        <v>246.29799999999997</v>
      </c>
    </row>
    <row r="12" spans="2:11" s="41" customFormat="1" x14ac:dyDescent="0.2">
      <c r="B12" s="41" t="s">
        <v>54</v>
      </c>
      <c r="E12" s="41">
        <v>33.887</v>
      </c>
      <c r="I12" s="41">
        <v>26.858000000000001</v>
      </c>
    </row>
    <row r="13" spans="2:11" s="41" customFormat="1" x14ac:dyDescent="0.2">
      <c r="B13" s="41" t="s">
        <v>55</v>
      </c>
      <c r="E13" s="41">
        <v>3.0150000000000001</v>
      </c>
      <c r="I13" s="41">
        <v>4.0449999999999999</v>
      </c>
    </row>
    <row r="14" spans="2:11" s="41" customFormat="1" x14ac:dyDescent="0.2">
      <c r="B14" s="41" t="s">
        <v>56</v>
      </c>
      <c r="E14" s="41">
        <v>4.2610000000000001</v>
      </c>
      <c r="I14" s="41">
        <v>9.3409999999999993</v>
      </c>
    </row>
    <row r="15" spans="2:11" s="41" customFormat="1" x14ac:dyDescent="0.2">
      <c r="B15" s="41" t="s">
        <v>57</v>
      </c>
      <c r="E15" s="41">
        <v>4.577</v>
      </c>
      <c r="I15" s="41">
        <v>0</v>
      </c>
    </row>
    <row r="16" spans="2:11" s="41" customFormat="1" x14ac:dyDescent="0.2">
      <c r="B16" s="41" t="s">
        <v>58</v>
      </c>
      <c r="E16" s="41">
        <v>0</v>
      </c>
      <c r="I16" s="41">
        <v>0</v>
      </c>
    </row>
    <row r="17" spans="2:9" s="41" customFormat="1" x14ac:dyDescent="0.2">
      <c r="B17" s="41" t="s">
        <v>59</v>
      </c>
      <c r="E17" s="41">
        <v>43.959000000000003</v>
      </c>
      <c r="I17" s="41">
        <v>56.774999999999999</v>
      </c>
    </row>
    <row r="18" spans="2:9" s="41" customFormat="1" x14ac:dyDescent="0.2">
      <c r="B18" s="41" t="s">
        <v>60</v>
      </c>
      <c r="E18" s="41">
        <v>0</v>
      </c>
      <c r="I18" s="41">
        <v>0</v>
      </c>
    </row>
    <row r="19" spans="2:9" s="41" customFormat="1" x14ac:dyDescent="0.2">
      <c r="B19" s="41" t="s">
        <v>61</v>
      </c>
      <c r="E19" s="41">
        <v>40.185000000000002</v>
      </c>
      <c r="I19" s="41">
        <v>57.936999999999998</v>
      </c>
    </row>
    <row r="20" spans="2:9" s="42" customFormat="1" x14ac:dyDescent="0.2">
      <c r="B20" s="42" t="s">
        <v>70</v>
      </c>
      <c r="C20" s="42">
        <f t="shared" ref="C20:H20" si="2">C11-SUM(C12:C19)</f>
        <v>0</v>
      </c>
      <c r="D20" s="42">
        <f t="shared" si="2"/>
        <v>0</v>
      </c>
      <c r="E20" s="42">
        <f t="shared" si="2"/>
        <v>44.504999999999995</v>
      </c>
      <c r="F20" s="42">
        <f t="shared" si="2"/>
        <v>0</v>
      </c>
      <c r="G20" s="42">
        <f t="shared" si="2"/>
        <v>0</v>
      </c>
      <c r="H20" s="42">
        <f t="shared" si="2"/>
        <v>0</v>
      </c>
      <c r="I20" s="42">
        <f>I11-SUM(I12:I19)</f>
        <v>91.341999999999956</v>
      </c>
    </row>
    <row r="21" spans="2:9" s="41" customFormat="1" x14ac:dyDescent="0.2">
      <c r="B21" s="41" t="s">
        <v>63</v>
      </c>
      <c r="E21" s="41">
        <v>4.5999999999999999E-2</v>
      </c>
      <c r="I21" s="41">
        <v>-0.438</v>
      </c>
    </row>
    <row r="22" spans="2:9" s="41" customFormat="1" x14ac:dyDescent="0.2">
      <c r="B22" s="41" t="s">
        <v>64</v>
      </c>
      <c r="E22" s="41">
        <v>0</v>
      </c>
      <c r="I22" s="41">
        <v>0</v>
      </c>
    </row>
    <row r="23" spans="2:9" s="41" customFormat="1" x14ac:dyDescent="0.2">
      <c r="B23" s="41" t="s">
        <v>62</v>
      </c>
      <c r="E23" s="41">
        <v>0.46100000000000002</v>
      </c>
      <c r="I23" s="41">
        <v>2.9089999999999998</v>
      </c>
    </row>
    <row r="24" spans="2:9" s="41" customFormat="1" x14ac:dyDescent="0.2">
      <c r="B24" s="41" t="s">
        <v>65</v>
      </c>
      <c r="C24" s="41">
        <f t="shared" ref="C24:H24" si="3">SUM(C21:C23)</f>
        <v>0</v>
      </c>
      <c r="D24" s="41">
        <f t="shared" si="3"/>
        <v>0</v>
      </c>
      <c r="E24" s="41">
        <f t="shared" si="3"/>
        <v>0.50700000000000001</v>
      </c>
      <c r="F24" s="41">
        <f t="shared" si="3"/>
        <v>0</v>
      </c>
      <c r="G24" s="41">
        <f t="shared" si="3"/>
        <v>0</v>
      </c>
      <c r="H24" s="41">
        <f t="shared" si="3"/>
        <v>0</v>
      </c>
      <c r="I24" s="41">
        <f>SUM(I21:I23)</f>
        <v>2.4709999999999996</v>
      </c>
    </row>
    <row r="25" spans="2:9" s="41" customFormat="1" x14ac:dyDescent="0.2">
      <c r="B25" s="41" t="s">
        <v>66</v>
      </c>
      <c r="C25" s="41">
        <f t="shared" ref="C25:H25" si="4">C20+C24</f>
        <v>0</v>
      </c>
      <c r="D25" s="41">
        <f t="shared" si="4"/>
        <v>0</v>
      </c>
      <c r="E25" s="41">
        <f t="shared" si="4"/>
        <v>45.011999999999993</v>
      </c>
      <c r="F25" s="41">
        <f t="shared" si="4"/>
        <v>0</v>
      </c>
      <c r="G25" s="41">
        <f t="shared" si="4"/>
        <v>0</v>
      </c>
      <c r="H25" s="41">
        <f t="shared" si="4"/>
        <v>0</v>
      </c>
      <c r="I25" s="41">
        <f>I20+I24</f>
        <v>93.81299999999996</v>
      </c>
    </row>
    <row r="26" spans="2:9" s="41" customFormat="1" x14ac:dyDescent="0.2">
      <c r="B26" s="41" t="s">
        <v>67</v>
      </c>
      <c r="E26" s="41">
        <v>3.7050000000000001</v>
      </c>
      <c r="I26" s="41">
        <v>7.3310000000000004</v>
      </c>
    </row>
    <row r="27" spans="2:9" s="42" customFormat="1" x14ac:dyDescent="0.2">
      <c r="B27" s="42" t="s">
        <v>68</v>
      </c>
      <c r="C27" s="42">
        <f t="shared" ref="C27:H27" si="5">C25-C26</f>
        <v>0</v>
      </c>
      <c r="D27" s="42">
        <f t="shared" si="5"/>
        <v>0</v>
      </c>
      <c r="E27" s="42">
        <f t="shared" si="5"/>
        <v>41.306999999999995</v>
      </c>
      <c r="F27" s="42">
        <f t="shared" si="5"/>
        <v>0</v>
      </c>
      <c r="G27" s="42">
        <f t="shared" si="5"/>
        <v>0</v>
      </c>
      <c r="H27" s="42">
        <f t="shared" si="5"/>
        <v>0</v>
      </c>
      <c r="I27" s="42">
        <f>I25-I26</f>
        <v>86.481999999999957</v>
      </c>
    </row>
    <row r="28" spans="2:9" x14ac:dyDescent="0.2">
      <c r="B28" s="1" t="s">
        <v>69</v>
      </c>
      <c r="E28" s="40">
        <f>E27/E32</f>
        <v>0.41336930417838336</v>
      </c>
      <c r="I28" s="40">
        <f>I27/I32</f>
        <v>0.84471032756294295</v>
      </c>
    </row>
    <row r="29" spans="2:9" s="41" customFormat="1" x14ac:dyDescent="0.2">
      <c r="B29" s="41" t="s">
        <v>85</v>
      </c>
      <c r="E29" s="41">
        <v>8.3339999999999996</v>
      </c>
      <c r="I29" s="41">
        <v>8.3350000000000009</v>
      </c>
    </row>
    <row r="30" spans="2:9" s="42" customFormat="1" x14ac:dyDescent="0.2">
      <c r="B30" s="42" t="s">
        <v>86</v>
      </c>
      <c r="C30" s="42">
        <f t="shared" ref="C30:H30" si="6">C27-C29</f>
        <v>0</v>
      </c>
      <c r="D30" s="42">
        <f t="shared" si="6"/>
        <v>0</v>
      </c>
      <c r="E30" s="42">
        <f t="shared" si="6"/>
        <v>32.972999999999999</v>
      </c>
      <c r="F30" s="42">
        <f t="shared" si="6"/>
        <v>0</v>
      </c>
      <c r="G30" s="42">
        <f t="shared" si="6"/>
        <v>0</v>
      </c>
      <c r="H30" s="42">
        <f t="shared" si="6"/>
        <v>0</v>
      </c>
      <c r="I30" s="42">
        <f>I27-I29</f>
        <v>78.146999999999963</v>
      </c>
    </row>
    <row r="31" spans="2:9" s="40" customFormat="1" x14ac:dyDescent="0.2">
      <c r="B31" s="40" t="s">
        <v>87</v>
      </c>
      <c r="E31" s="40">
        <f>E30/E32</f>
        <v>0.32996891729425609</v>
      </c>
      <c r="I31" s="40">
        <f>I30/I32</f>
        <v>0.7632984663636514</v>
      </c>
    </row>
    <row r="32" spans="2:9" s="38" customFormat="1" x14ac:dyDescent="0.2">
      <c r="B32" s="38" t="s">
        <v>4</v>
      </c>
      <c r="E32" s="38">
        <v>99.927593999999999</v>
      </c>
      <c r="I32" s="38">
        <v>102.38065899999999</v>
      </c>
    </row>
    <row r="34" spans="2:9" s="39" customFormat="1" x14ac:dyDescent="0.2">
      <c r="B34" s="39" t="s">
        <v>71</v>
      </c>
    </row>
    <row r="35" spans="2:9" s="39" customFormat="1" x14ac:dyDescent="0.2">
      <c r="B35" s="39" t="s">
        <v>72</v>
      </c>
    </row>
    <row r="36" spans="2:9" s="39" customFormat="1" x14ac:dyDescent="0.2"/>
    <row r="37" spans="2:9" s="39" customFormat="1" x14ac:dyDescent="0.2">
      <c r="B37" s="39" t="s">
        <v>73</v>
      </c>
      <c r="E37" s="39">
        <f>E11/E9</f>
        <v>0.59907728034737684</v>
      </c>
      <c r="I37" s="39">
        <f>I11/I9</f>
        <v>0.52877022889947056</v>
      </c>
    </row>
    <row r="38" spans="2:9" s="39" customFormat="1" x14ac:dyDescent="0.2">
      <c r="B38" s="39" t="s">
        <v>74</v>
      </c>
      <c r="E38" s="39">
        <f>E20/E9</f>
        <v>0.1528877071481573</v>
      </c>
      <c r="I38" s="39">
        <f>I20/I9</f>
        <v>0.1960995633262772</v>
      </c>
    </row>
    <row r="39" spans="2:9" s="39" customFormat="1" x14ac:dyDescent="0.2">
      <c r="B39" s="39" t="s">
        <v>75</v>
      </c>
      <c r="E39" s="39">
        <f>E27/E9</f>
        <v>0.1419016406958529</v>
      </c>
      <c r="I39" s="39">
        <f>I27/I9</f>
        <v>0.18566576641176133</v>
      </c>
    </row>
    <row r="40" spans="2:9" s="39" customFormat="1" x14ac:dyDescent="0.2">
      <c r="B40" s="39" t="s">
        <v>76</v>
      </c>
      <c r="E40" s="39">
        <f>E26/E25</f>
        <v>8.2311383631031743E-2</v>
      </c>
      <c r="I40" s="39">
        <f>I26/I25</f>
        <v>7.8144820014283772E-2</v>
      </c>
    </row>
    <row r="44" spans="2:9" x14ac:dyDescent="0.2">
      <c r="B44" s="45" t="s">
        <v>88</v>
      </c>
    </row>
    <row r="45" spans="2:9" s="46" customFormat="1" x14ac:dyDescent="0.2">
      <c r="B45" s="46" t="s">
        <v>6</v>
      </c>
      <c r="I45" s="46">
        <v>111.88800000000001</v>
      </c>
    </row>
    <row r="46" spans="2:9" s="3" customFormat="1" x14ac:dyDescent="0.2">
      <c r="B46" s="3" t="s">
        <v>89</v>
      </c>
      <c r="I46" s="3">
        <v>0.15</v>
      </c>
    </row>
    <row r="47" spans="2:9" s="3" customFormat="1" x14ac:dyDescent="0.2">
      <c r="B47" s="3" t="s">
        <v>90</v>
      </c>
      <c r="I47" s="3">
        <v>166.33799999999999</v>
      </c>
    </row>
    <row r="48" spans="2:9" s="3" customFormat="1" x14ac:dyDescent="0.2">
      <c r="B48" s="3" t="s">
        <v>91</v>
      </c>
      <c r="I48" s="3">
        <v>2066.337</v>
      </c>
    </row>
    <row r="49" spans="2:9" s="3" customFormat="1" x14ac:dyDescent="0.2">
      <c r="B49" s="3" t="s">
        <v>92</v>
      </c>
      <c r="I49" s="3">
        <v>103.605</v>
      </c>
    </row>
    <row r="50" spans="2:9" s="46" customFormat="1" x14ac:dyDescent="0.2">
      <c r="B50" s="46" t="s">
        <v>93</v>
      </c>
      <c r="I50" s="46">
        <v>19.448</v>
      </c>
    </row>
    <row r="51" spans="2:9" s="3" customFormat="1" x14ac:dyDescent="0.2">
      <c r="B51" s="3" t="s">
        <v>94</v>
      </c>
      <c r="I51" s="3">
        <v>38.000999999999998</v>
      </c>
    </row>
    <row r="52" spans="2:9" s="3" customFormat="1" x14ac:dyDescent="0.2">
      <c r="B52" s="3" t="s">
        <v>95</v>
      </c>
      <c r="I52" s="3">
        <v>119.012</v>
      </c>
    </row>
    <row r="53" spans="2:9" s="3" customFormat="1" x14ac:dyDescent="0.2">
      <c r="B53" s="3" t="s">
        <v>96</v>
      </c>
      <c r="I53" s="3">
        <v>31.533000000000001</v>
      </c>
    </row>
    <row r="54" spans="2:9" s="3" customFormat="1" x14ac:dyDescent="0.2">
      <c r="B54" s="3" t="s">
        <v>39</v>
      </c>
      <c r="I54" s="3">
        <v>490.99700000000001</v>
      </c>
    </row>
    <row r="55" spans="2:9" s="3" customFormat="1" x14ac:dyDescent="0.2">
      <c r="B55" s="3" t="s">
        <v>97</v>
      </c>
      <c r="I55" s="3">
        <v>591.601</v>
      </c>
    </row>
    <row r="56" spans="2:9" s="3" customFormat="1" x14ac:dyDescent="0.2">
      <c r="B56" s="3" t="s">
        <v>98</v>
      </c>
      <c r="I56" s="3">
        <f>SUM(I45:I55)</f>
        <v>3738.91</v>
      </c>
    </row>
    <row r="57" spans="2:9" s="3" customFormat="1" x14ac:dyDescent="0.2"/>
    <row r="58" spans="2:9" s="3" customFormat="1" x14ac:dyDescent="0.2">
      <c r="B58" s="3" t="s">
        <v>99</v>
      </c>
      <c r="I58" s="3">
        <v>196.66</v>
      </c>
    </row>
    <row r="59" spans="2:9" s="46" customFormat="1" x14ac:dyDescent="0.2">
      <c r="B59" s="46" t="s">
        <v>102</v>
      </c>
      <c r="I59" s="46">
        <v>3218.3429999999998</v>
      </c>
    </row>
    <row r="60" spans="2:9" s="3" customFormat="1" x14ac:dyDescent="0.2">
      <c r="B60" s="3" t="s">
        <v>100</v>
      </c>
      <c r="I60" s="3">
        <v>75.605999999999995</v>
      </c>
    </row>
    <row r="61" spans="2:9" s="3" customFormat="1" x14ac:dyDescent="0.2">
      <c r="B61" s="3" t="s">
        <v>101</v>
      </c>
      <c r="I61" s="3">
        <v>42.863</v>
      </c>
    </row>
    <row r="62" spans="2:9" s="3" customFormat="1" x14ac:dyDescent="0.2">
      <c r="B62" s="3" t="s">
        <v>103</v>
      </c>
      <c r="I62" s="3">
        <v>86.906000000000006</v>
      </c>
    </row>
    <row r="63" spans="2:9" s="3" customFormat="1" x14ac:dyDescent="0.2">
      <c r="B63" s="3" t="s">
        <v>104</v>
      </c>
      <c r="I63" s="3">
        <f>SUM(I58:I62)</f>
        <v>3620.3779999999992</v>
      </c>
    </row>
    <row r="65" spans="2:9" x14ac:dyDescent="0.2">
      <c r="B65" s="1" t="s">
        <v>105</v>
      </c>
      <c r="I65" s="3">
        <v>118.532</v>
      </c>
    </row>
    <row r="66" spans="2:9" x14ac:dyDescent="0.2">
      <c r="B66" s="1" t="s">
        <v>106</v>
      </c>
      <c r="I66" s="3">
        <f>+I65+I63</f>
        <v>3738.9099999999994</v>
      </c>
    </row>
    <row r="68" spans="2:9" x14ac:dyDescent="0.2">
      <c r="B68" s="1" t="s">
        <v>107</v>
      </c>
      <c r="I68" s="3">
        <f>+I56-I63</f>
        <v>118.53200000000061</v>
      </c>
    </row>
    <row r="69" spans="2:9" x14ac:dyDescent="0.2">
      <c r="B69" s="1" t="s">
        <v>108</v>
      </c>
      <c r="I69" s="1">
        <f>I68/I32</f>
        <v>1.1577577362536864</v>
      </c>
    </row>
    <row r="71" spans="2:9" s="41" customFormat="1" x14ac:dyDescent="0.2">
      <c r="B71" s="41" t="s">
        <v>6</v>
      </c>
      <c r="I71" s="41">
        <f>I45+I50+I46</f>
        <v>131.48600000000002</v>
      </c>
    </row>
    <row r="72" spans="2:9" s="41" customFormat="1" x14ac:dyDescent="0.2">
      <c r="B72" s="41" t="s">
        <v>7</v>
      </c>
      <c r="I72" s="41">
        <f>I59</f>
        <v>3218.3429999999998</v>
      </c>
    </row>
    <row r="73" spans="2:9" s="41" customFormat="1" x14ac:dyDescent="0.2">
      <c r="B73" s="41" t="s">
        <v>8</v>
      </c>
      <c r="I73" s="41">
        <f>I71-I72</f>
        <v>-3086.857</v>
      </c>
    </row>
    <row r="75" spans="2:9" x14ac:dyDescent="0.2">
      <c r="B75" s="1" t="s">
        <v>3</v>
      </c>
    </row>
    <row r="76" spans="2:9" x14ac:dyDescent="0.2">
      <c r="B76" s="1" t="s">
        <v>5</v>
      </c>
    </row>
    <row r="77" spans="2:9" x14ac:dyDescent="0.2">
      <c r="B77" s="1" t="s">
        <v>9</v>
      </c>
    </row>
  </sheetData>
  <hyperlinks>
    <hyperlink ref="I1" r:id="rId1" xr:uid="{97FE945D-9809-4AB3-BD2C-735977193B0A}"/>
  </hyperlinks>
  <pageMargins left="0.7" right="0.7" top="0.75" bottom="0.75" header="0.3" footer="0.3"/>
  <ignoredErrors>
    <ignoredError sqref="I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2025-02-04T22:24:49Z</dcterms:created>
  <dcterms:modified xsi:type="dcterms:W3CDTF">2025-02-05T00:23:56Z</dcterms:modified>
</cp:coreProperties>
</file>