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065FAFC-8C88-4D00-87A6-74436F4D858F}" xr6:coauthVersionLast="36" xr6:coauthVersionMax="47" xr10:uidLastSave="{00000000-0000-0000-0000-000000000000}"/>
  <bookViews>
    <workbookView xWindow="0" yWindow="495" windowWidth="29835"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5" i="2" l="1"/>
  <c r="J92" i="2"/>
  <c r="J91" i="2"/>
  <c r="J90" i="2"/>
  <c r="J88" i="2"/>
  <c r="N88" i="2"/>
  <c r="J83" i="2"/>
  <c r="J84" i="2" s="1"/>
  <c r="J82" i="2"/>
  <c r="K80" i="2"/>
  <c r="N79" i="2"/>
  <c r="J76" i="2"/>
  <c r="J77" i="2" s="1"/>
  <c r="J74" i="2"/>
  <c r="J57" i="2"/>
  <c r="J47" i="2"/>
  <c r="J45" i="2"/>
  <c r="J42" i="2"/>
  <c r="J39" i="2"/>
  <c r="N47" i="2"/>
  <c r="N45" i="2"/>
  <c r="N42" i="2"/>
  <c r="N39" i="2"/>
  <c r="N95" i="2"/>
  <c r="O80" i="2"/>
  <c r="N74" i="2"/>
  <c r="K74" i="2"/>
  <c r="N57" i="2"/>
  <c r="AD21" i="2" l="1"/>
  <c r="AE21" i="2"/>
  <c r="AF21" i="2"/>
  <c r="AG21" i="2"/>
  <c r="AH21" i="2"/>
  <c r="AI21" i="2"/>
  <c r="AJ21" i="2"/>
  <c r="AK21" i="2"/>
  <c r="AL21" i="2"/>
  <c r="AC21" i="2"/>
  <c r="AE12" i="2"/>
  <c r="AO31" i="2" l="1"/>
  <c r="AD19" i="2" l="1"/>
  <c r="AE19" i="2" s="1"/>
  <c r="AF19" i="2" s="1"/>
  <c r="AG19" i="2" s="1"/>
  <c r="AH19" i="2" s="1"/>
  <c r="AI19" i="2" s="1"/>
  <c r="AJ19" i="2" s="1"/>
  <c r="AK19" i="2" s="1"/>
  <c r="AL19" i="2" s="1"/>
  <c r="AC19" i="2"/>
  <c r="AC20" i="2" s="1"/>
  <c r="AA32" i="2"/>
  <c r="AD18" i="2"/>
  <c r="AD33" i="2" s="1"/>
  <c r="AC18" i="2"/>
  <c r="AC33" i="2" s="1"/>
  <c r="AL16" i="2"/>
  <c r="AK16" i="2"/>
  <c r="AJ16" i="2"/>
  <c r="AI16" i="2"/>
  <c r="AH16" i="2"/>
  <c r="AG16" i="2"/>
  <c r="AF16" i="2"/>
  <c r="AE16" i="2"/>
  <c r="AD16" i="2"/>
  <c r="AC16" i="2"/>
  <c r="AC17" i="2" s="1"/>
  <c r="AD22" i="2"/>
  <c r="AE22" i="2" s="1"/>
  <c r="AF22" i="2" s="1"/>
  <c r="AG22" i="2" s="1"/>
  <c r="AH22" i="2" s="1"/>
  <c r="AI22" i="2" s="1"/>
  <c r="AJ22" i="2" s="1"/>
  <c r="AK22" i="2" s="1"/>
  <c r="AL22" i="2" s="1"/>
  <c r="AC22" i="2"/>
  <c r="AD17" i="2"/>
  <c r="AD12" i="2"/>
  <c r="AC12" i="2"/>
  <c r="AC107" i="2" s="1"/>
  <c r="R107" i="2"/>
  <c r="AB107" i="2"/>
  <c r="AA107" i="2"/>
  <c r="Z107" i="2"/>
  <c r="Y107" i="2"/>
  <c r="X107" i="2"/>
  <c r="W107" i="2"/>
  <c r="V107" i="2"/>
  <c r="U107" i="2"/>
  <c r="Q107" i="2"/>
  <c r="P107" i="2"/>
  <c r="O107" i="2"/>
  <c r="N107" i="2"/>
  <c r="M107" i="2"/>
  <c r="L107" i="2"/>
  <c r="K107" i="2"/>
  <c r="J107" i="2"/>
  <c r="I107" i="2"/>
  <c r="H107" i="2"/>
  <c r="AF13" i="2"/>
  <c r="AD20" i="2" l="1"/>
  <c r="AD32" i="2" s="1"/>
  <c r="AC32" i="2"/>
  <c r="AI15" i="2" l="1"/>
  <c r="AJ15" i="2" s="1"/>
  <c r="AK15" i="2" s="1"/>
  <c r="AL15" i="2" s="1"/>
  <c r="AH15" i="2"/>
  <c r="AD15" i="2"/>
  <c r="AE15" i="2" s="1"/>
  <c r="AF15" i="2" s="1"/>
  <c r="AG15" i="2" s="1"/>
  <c r="AC15" i="2"/>
  <c r="AD13" i="2" l="1"/>
  <c r="AE13" i="2" s="1"/>
  <c r="AG13" i="2" s="1"/>
  <c r="AH13" i="2" s="1"/>
  <c r="AI13" i="2" s="1"/>
  <c r="AJ13" i="2" s="1"/>
  <c r="AK13" i="2" s="1"/>
  <c r="AL13" i="2" s="1"/>
  <c r="AC13" i="2"/>
  <c r="AD107" i="2" l="1"/>
  <c r="AF12" i="2" l="1"/>
  <c r="AE107" i="2"/>
  <c r="AG12" i="2" l="1"/>
  <c r="AF107" i="2"/>
  <c r="AH12" i="2" l="1"/>
  <c r="AG107" i="2"/>
  <c r="AH107" i="2" l="1"/>
  <c r="AI12" i="2"/>
  <c r="AJ12" i="2" l="1"/>
  <c r="AI107" i="2"/>
  <c r="AK12" i="2" l="1"/>
  <c r="AJ107" i="2"/>
  <c r="AL12" i="2" l="1"/>
  <c r="AL107" i="2" s="1"/>
  <c r="AK107" i="2"/>
  <c r="AC14" i="2" l="1"/>
  <c r="AC31" i="2" s="1"/>
  <c r="AL14" i="2"/>
  <c r="AL10" i="2"/>
  <c r="AK10" i="2"/>
  <c r="AJ10" i="2"/>
  <c r="AI10" i="2"/>
  <c r="AF10" i="2"/>
  <c r="AH10" i="2"/>
  <c r="AG10" i="2"/>
  <c r="AE10" i="2"/>
  <c r="AI7" i="2"/>
  <c r="AJ7" i="2" s="1"/>
  <c r="AK7" i="2" s="1"/>
  <c r="AL7" i="2" s="1"/>
  <c r="AH7" i="2"/>
  <c r="AI8" i="2"/>
  <c r="AJ8" i="2" s="1"/>
  <c r="AK8" i="2" s="1"/>
  <c r="AL8" i="2" s="1"/>
  <c r="AH8" i="2"/>
  <c r="AD8" i="2"/>
  <c r="AE8" i="2" s="1"/>
  <c r="AF8" i="2" s="1"/>
  <c r="AG8" i="2" s="1"/>
  <c r="AC8" i="2"/>
  <c r="AD7" i="2"/>
  <c r="AC7" i="2"/>
  <c r="AD6" i="2"/>
  <c r="AD26" i="2" s="1"/>
  <c r="AC6" i="2"/>
  <c r="AC26" i="2"/>
  <c r="AB10" i="2"/>
  <c r="AB16" i="2"/>
  <c r="AB8" i="2"/>
  <c r="AB13" i="2"/>
  <c r="AB5" i="2"/>
  <c r="AB4" i="2"/>
  <c r="AB3" i="2"/>
  <c r="Q105" i="2"/>
  <c r="P105" i="2"/>
  <c r="O105" i="2"/>
  <c r="N105" i="2"/>
  <c r="M105" i="2"/>
  <c r="L105" i="2"/>
  <c r="K105" i="2"/>
  <c r="J105" i="2"/>
  <c r="I105" i="2"/>
  <c r="Q104" i="2"/>
  <c r="P104" i="2"/>
  <c r="O104" i="2"/>
  <c r="N104" i="2"/>
  <c r="M104" i="2"/>
  <c r="L104" i="2"/>
  <c r="K104" i="2"/>
  <c r="J104" i="2"/>
  <c r="I104" i="2"/>
  <c r="Q103" i="2"/>
  <c r="P103" i="2"/>
  <c r="O103" i="2"/>
  <c r="N103" i="2"/>
  <c r="M103" i="2"/>
  <c r="L103" i="2"/>
  <c r="K103" i="2"/>
  <c r="J103" i="2"/>
  <c r="I103"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B7" i="2"/>
  <c r="AB22" i="2"/>
  <c r="AB19" i="2"/>
  <c r="AB15" i="2"/>
  <c r="AB12" i="2"/>
  <c r="AL31" i="2" l="1"/>
  <c r="AL17" i="2"/>
  <c r="AE14" i="2"/>
  <c r="AF14" i="2"/>
  <c r="AG14" i="2"/>
  <c r="AD14" i="2"/>
  <c r="AD31" i="2" s="1"/>
  <c r="AH14" i="2"/>
  <c r="AI14" i="2"/>
  <c r="AJ14" i="2"/>
  <c r="AK14" i="2"/>
  <c r="AC9" i="2"/>
  <c r="AC24" i="2" s="1"/>
  <c r="AD9" i="2"/>
  <c r="AE7" i="2"/>
  <c r="AD10" i="2"/>
  <c r="AE6" i="2"/>
  <c r="AB6" i="2"/>
  <c r="AA47" i="2"/>
  <c r="Z47" i="2"/>
  <c r="Y47" i="2"/>
  <c r="Q47" i="2"/>
  <c r="O47" i="2"/>
  <c r="M47" i="2"/>
  <c r="AI31" i="2" l="1"/>
  <c r="AI17" i="2"/>
  <c r="AG31" i="2"/>
  <c r="AG17" i="2"/>
  <c r="AF31" i="2"/>
  <c r="AF17" i="2"/>
  <c r="AL18" i="2"/>
  <c r="AL33" i="2" s="1"/>
  <c r="AK31" i="2"/>
  <c r="AK17" i="2"/>
  <c r="AJ31" i="2"/>
  <c r="AJ17" i="2"/>
  <c r="AH31" i="2"/>
  <c r="AH17" i="2"/>
  <c r="AE31" i="2"/>
  <c r="AE17" i="2"/>
  <c r="AC10" i="2"/>
  <c r="AC11" i="2" s="1"/>
  <c r="AC30" i="2" s="1"/>
  <c r="AD24" i="2"/>
  <c r="AE9" i="2"/>
  <c r="AF7" i="2"/>
  <c r="AE26" i="2"/>
  <c r="AF6" i="2"/>
  <c r="AD11" i="2"/>
  <c r="AD30" i="2" s="1"/>
  <c r="AB26" i="2"/>
  <c r="AB9" i="2"/>
  <c r="Y91" i="2"/>
  <c r="X91" i="2"/>
  <c r="W91" i="2"/>
  <c r="V91" i="2"/>
  <c r="Y87" i="2"/>
  <c r="X87" i="2"/>
  <c r="W87" i="2"/>
  <c r="V87" i="2"/>
  <c r="X92" i="2"/>
  <c r="W92" i="2"/>
  <c r="V92" i="2"/>
  <c r="V21" i="2"/>
  <c r="U21" i="2"/>
  <c r="V22" i="2"/>
  <c r="U22" i="2"/>
  <c r="W26" i="2"/>
  <c r="V26" i="2"/>
  <c r="W24" i="2"/>
  <c r="V24" i="2"/>
  <c r="V33" i="2"/>
  <c r="U33" i="2"/>
  <c r="V32" i="2"/>
  <c r="U32" i="2"/>
  <c r="V31" i="2"/>
  <c r="U31" i="2"/>
  <c r="V30" i="2"/>
  <c r="U30" i="2"/>
  <c r="U14" i="2"/>
  <c r="U17" i="2" s="1"/>
  <c r="U20" i="2" s="1"/>
  <c r="U11" i="2"/>
  <c r="V20" i="2"/>
  <c r="V17" i="2"/>
  <c r="V14" i="2"/>
  <c r="V11" i="2"/>
  <c r="R11" i="2"/>
  <c r="V8" i="2"/>
  <c r="V9" i="2" s="1"/>
  <c r="U9" i="2"/>
  <c r="U6" i="2"/>
  <c r="V6" i="2"/>
  <c r="X33" i="2"/>
  <c r="X32" i="2"/>
  <c r="X31" i="2"/>
  <c r="X30" i="2"/>
  <c r="W30" i="2"/>
  <c r="Y26" i="2"/>
  <c r="X26" i="2"/>
  <c r="Y24" i="2"/>
  <c r="X24" i="2"/>
  <c r="X21" i="2"/>
  <c r="X11" i="2"/>
  <c r="X14" i="2" s="1"/>
  <c r="X17" i="2" s="1"/>
  <c r="X20" i="2" s="1"/>
  <c r="W11" i="2"/>
  <c r="W14" i="2" s="1"/>
  <c r="W9" i="2"/>
  <c r="X9" i="2"/>
  <c r="X6" i="2"/>
  <c r="W6" i="2"/>
  <c r="R27" i="2"/>
  <c r="R26" i="2"/>
  <c r="R25" i="2"/>
  <c r="R24" i="2"/>
  <c r="R22" i="2"/>
  <c r="R19" i="2"/>
  <c r="R16" i="2"/>
  <c r="R14" i="2"/>
  <c r="R17" i="2" s="1"/>
  <c r="R12" i="2"/>
  <c r="R30" i="2"/>
  <c r="R10" i="2"/>
  <c r="R9" i="2"/>
  <c r="I84" i="2"/>
  <c r="H84" i="2"/>
  <c r="N83" i="2"/>
  <c r="M83" i="2"/>
  <c r="L83" i="2"/>
  <c r="K83" i="2"/>
  <c r="I83" i="2"/>
  <c r="H83" i="2"/>
  <c r="N82" i="2"/>
  <c r="N84" i="2" s="1"/>
  <c r="M82" i="2"/>
  <c r="M84" i="2" s="1"/>
  <c r="L82" i="2"/>
  <c r="L84" i="2" s="1"/>
  <c r="K82" i="2"/>
  <c r="K84" i="2" s="1"/>
  <c r="I82" i="2"/>
  <c r="H82" i="2"/>
  <c r="M71" i="2"/>
  <c r="L71" i="2"/>
  <c r="K71" i="2"/>
  <c r="I71" i="2"/>
  <c r="H71" i="2"/>
  <c r="N67" i="2"/>
  <c r="N71" i="2" s="1"/>
  <c r="M67" i="2"/>
  <c r="L67" i="2"/>
  <c r="K67" i="2"/>
  <c r="J67" i="2"/>
  <c r="J71" i="2" s="1"/>
  <c r="I67" i="2"/>
  <c r="H67" i="2"/>
  <c r="K60" i="2"/>
  <c r="I60" i="2"/>
  <c r="H60" i="2"/>
  <c r="N54" i="2"/>
  <c r="N60" i="2" s="1"/>
  <c r="N76" i="2" s="1"/>
  <c r="N77" i="2" s="1"/>
  <c r="N90" i="2" s="1"/>
  <c r="M54" i="2"/>
  <c r="M60" i="2" s="1"/>
  <c r="L54" i="2"/>
  <c r="L60" i="2" s="1"/>
  <c r="K54" i="2"/>
  <c r="J54" i="2"/>
  <c r="J60" i="2" s="1"/>
  <c r="I54" i="2"/>
  <c r="H54" i="2"/>
  <c r="AL20" i="2" l="1"/>
  <c r="AL32" i="2" s="1"/>
  <c r="AF18" i="2"/>
  <c r="AF33" i="2" s="1"/>
  <c r="AG18" i="2"/>
  <c r="AG33" i="2" s="1"/>
  <c r="AE18" i="2"/>
  <c r="AE33" i="2" s="1"/>
  <c r="AJ18" i="2"/>
  <c r="AJ33" i="2" s="1"/>
  <c r="AK18" i="2"/>
  <c r="AK33" i="2" s="1"/>
  <c r="AH18" i="2"/>
  <c r="AH33" i="2" s="1"/>
  <c r="AI18" i="2"/>
  <c r="AI33" i="2" s="1"/>
  <c r="AE24" i="2"/>
  <c r="AE11" i="2"/>
  <c r="AE30" i="2" s="1"/>
  <c r="AF9" i="2"/>
  <c r="AG7" i="2"/>
  <c r="AF26" i="2"/>
  <c r="AG6" i="2"/>
  <c r="AB24" i="2"/>
  <c r="AB11" i="2"/>
  <c r="R18" i="2"/>
  <c r="R33" i="2" s="1"/>
  <c r="R31" i="2"/>
  <c r="W17" i="2"/>
  <c r="W31" i="2"/>
  <c r="AA79" i="2"/>
  <c r="K44" i="2"/>
  <c r="K43" i="2"/>
  <c r="K42" i="2"/>
  <c r="K39" i="2"/>
  <c r="O45" i="2"/>
  <c r="O44" i="2"/>
  <c r="O43" i="2"/>
  <c r="O42" i="2"/>
  <c r="O39" i="2"/>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O79" i="2"/>
  <c r="K57" i="2"/>
  <c r="Z57" i="2" s="1"/>
  <c r="O83" i="2"/>
  <c r="O82" i="2"/>
  <c r="O84" i="2" s="1"/>
  <c r="P80" i="2"/>
  <c r="O71" i="2"/>
  <c r="O74" i="2" s="1"/>
  <c r="O67" i="2"/>
  <c r="O57" i="2"/>
  <c r="O54" i="2"/>
  <c r="O60" i="2" s="1"/>
  <c r="O76" i="2" s="1"/>
  <c r="O77" i="2" s="1"/>
  <c r="O90" i="2" s="1"/>
  <c r="AJ20" i="2" l="1"/>
  <c r="AJ32" i="2" s="1"/>
  <c r="AK20" i="2"/>
  <c r="AK32" i="2" s="1"/>
  <c r="AM20" i="2"/>
  <c r="AN20" i="2" s="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AF20" i="2"/>
  <c r="AF32" i="2" s="1"/>
  <c r="AG20" i="2"/>
  <c r="AG32" i="2" s="1"/>
  <c r="AH20" i="2"/>
  <c r="AH32" i="2" s="1"/>
  <c r="AE20" i="2"/>
  <c r="AE32" i="2" s="1"/>
  <c r="AI20" i="2"/>
  <c r="AI32" i="2" s="1"/>
  <c r="AF24" i="2"/>
  <c r="AG9" i="2"/>
  <c r="AG26" i="2"/>
  <c r="AH6" i="2"/>
  <c r="AF11" i="2"/>
  <c r="AF30" i="2" s="1"/>
  <c r="AB14" i="2"/>
  <c r="AB30" i="2"/>
  <c r="R20" i="2"/>
  <c r="W20" i="2"/>
  <c r="W33" i="2"/>
  <c r="K45" i="2"/>
  <c r="K47" i="2" s="1"/>
  <c r="K76" i="2"/>
  <c r="Z60" i="2"/>
  <c r="Z71" i="2"/>
  <c r="Z74" i="2" s="1"/>
  <c r="AA95" i="2"/>
  <c r="P95" i="2"/>
  <c r="Q95" i="2"/>
  <c r="AO27" i="2" l="1"/>
  <c r="AH9" i="2"/>
  <c r="AG24" i="2"/>
  <c r="AH26" i="2"/>
  <c r="AI6" i="2"/>
  <c r="AG11" i="2"/>
  <c r="AG30" i="2" s="1"/>
  <c r="AB31" i="2"/>
  <c r="AB17" i="2"/>
  <c r="R32" i="2"/>
  <c r="R21" i="2"/>
  <c r="W32" i="2"/>
  <c r="W21" i="2"/>
  <c r="K77" i="2"/>
  <c r="Z76" i="2"/>
  <c r="Z86" i="2"/>
  <c r="AA86" i="2"/>
  <c r="AA87" i="2" s="1"/>
  <c r="AH11" i="2" l="1"/>
  <c r="AH30" i="2" s="1"/>
  <c r="AH24" i="2"/>
  <c r="AI9" i="2"/>
  <c r="AJ6" i="2"/>
  <c r="AI26" i="2"/>
  <c r="AB18" i="2"/>
  <c r="AB33" i="2" s="1"/>
  <c r="AA88" i="2"/>
  <c r="Z87" i="2"/>
  <c r="Z77" i="2"/>
  <c r="Z90" i="2" s="1"/>
  <c r="K90" i="2"/>
  <c r="Q87" i="2"/>
  <c r="P87" i="2"/>
  <c r="O87" i="2"/>
  <c r="O88" i="2" s="1"/>
  <c r="N87" i="2"/>
  <c r="M87" i="2"/>
  <c r="L87" i="2"/>
  <c r="K87" i="2"/>
  <c r="K88" i="2" s="1"/>
  <c r="J87" i="2"/>
  <c r="I87" i="2"/>
  <c r="H87" i="2"/>
  <c r="P83" i="2"/>
  <c r="P82" i="2"/>
  <c r="P84" i="2" s="1"/>
  <c r="Q83" i="2"/>
  <c r="Q82" i="2"/>
  <c r="Q84" i="2" s="1"/>
  <c r="AI11" i="2" l="1"/>
  <c r="AI30" i="2" s="1"/>
  <c r="AI24" i="2"/>
  <c r="AJ9" i="2"/>
  <c r="AJ26" i="2"/>
  <c r="AK6" i="2"/>
  <c r="AB20" i="2"/>
  <c r="AB32" i="2" s="1"/>
  <c r="Z88" i="2"/>
  <c r="P88" i="2"/>
  <c r="Q88" i="2"/>
  <c r="Q24" i="2"/>
  <c r="AL9" i="2" l="1"/>
  <c r="AK9" i="2"/>
  <c r="AJ24" i="2"/>
  <c r="AL6" i="2"/>
  <c r="AL26" i="2" s="1"/>
  <c r="AK26" i="2"/>
  <c r="AJ11" i="2"/>
  <c r="AJ30" i="2" s="1"/>
  <c r="AB21" i="2"/>
  <c r="M39" i="2"/>
  <c r="M42" i="2"/>
  <c r="M43" i="2"/>
  <c r="M44" i="2"/>
  <c r="Q44" i="2"/>
  <c r="Q43" i="2"/>
  <c r="Q42" i="2"/>
  <c r="Q39" i="2"/>
  <c r="Q80" i="2"/>
  <c r="C10" i="1"/>
  <c r="C9" i="1"/>
  <c r="Q67" i="2"/>
  <c r="Q71" i="2" s="1"/>
  <c r="Q74" i="2" s="1"/>
  <c r="Q57" i="2"/>
  <c r="Q54" i="2"/>
  <c r="C27" i="1"/>
  <c r="Q11" i="2"/>
  <c r="Q30" i="2" s="1"/>
  <c r="Q25" i="2"/>
  <c r="Q6" i="2"/>
  <c r="AK11" i="2" l="1"/>
  <c r="AK30" i="2" s="1"/>
  <c r="AK24" i="2"/>
  <c r="AL24" i="2"/>
  <c r="AL11" i="2"/>
  <c r="AL30" i="2" s="1"/>
  <c r="M45" i="2"/>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AO28" i="2" s="1"/>
  <c r="AO29" i="2" s="1"/>
  <c r="AO30" i="2" s="1"/>
  <c r="AO32" i="2" s="1"/>
  <c r="C38" i="1" l="1"/>
  <c r="Y21" i="2"/>
  <c r="Y92" i="2" s="1"/>
  <c r="Y32" i="2"/>
  <c r="Z31" i="2"/>
  <c r="Z17" i="2"/>
  <c r="Z33" i="2" s="1"/>
  <c r="AA31" i="2"/>
  <c r="AA17" i="2"/>
  <c r="C12" i="1"/>
  <c r="C39" i="1" l="1"/>
  <c r="C34" i="1"/>
  <c r="AA33" i="2"/>
  <c r="AA20" i="2"/>
  <c r="Z20" i="2"/>
  <c r="AA21" i="2" l="1"/>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<sst xmlns="http://schemas.openxmlformats.org/spreadsheetml/2006/main" count="1520" uniqueCount="831">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</sst>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5"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22">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167" fontId="10" fillId="5" borderId="0" xfId="0" applyNumberFormat="1" applyFont="1" applyFill="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166" fontId="2" fillId="5" borderId="0" xfId="0" applyNumberFormat="1" applyFont="1" applyFill="1"/>
    <xf numFmtId="4" fontId="10" fillId="5" borderId="0" xfId="0" applyNumberFormat="1" applyFont="1" applyFill="1"/>
    <xf numFmtId="9" fontId="11" fillId="5" borderId="0" xfId="0" applyNumberFormat="1" applyFont="1" applyFill="1"/>
    <xf numFmtId="9" fontId="14"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printerSettings" Target="../printerSettings/printerSettings2.bin"/><Relationship Id="rId5" Type="http://schemas.openxmlformats.org/officeDocument/2006/relationships/hyperlink" Target="https://about.underarmour.com/investor-relations/news-events-presentations/corporate-news/id/22166" TargetMode="External"/><Relationship Id="rId15" Type="http://schemas.microsoft.com/office/2017/10/relationships/threadedComment" Target="../threadedComments/threadedComment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S17" sqref="S17"/>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15" t="s">
        <v>2</v>
      </c>
      <c r="C5" s="116"/>
      <c r="D5" s="117"/>
      <c r="G5" s="115" t="s">
        <v>55</v>
      </c>
      <c r="H5" s="116"/>
      <c r="I5" s="116"/>
      <c r="J5" s="116"/>
      <c r="K5" s="116"/>
      <c r="L5" s="116"/>
      <c r="M5" s="116"/>
      <c r="N5" s="116"/>
      <c r="O5" s="117"/>
      <c r="R5" s="112" t="s">
        <v>754</v>
      </c>
      <c r="S5" s="113"/>
      <c r="T5" s="113"/>
      <c r="U5" s="113"/>
      <c r="V5" s="113"/>
      <c r="W5" s="114"/>
    </row>
    <row r="6" spans="2:23" x14ac:dyDescent="0.2">
      <c r="B6" s="4" t="s">
        <v>3</v>
      </c>
      <c r="C6" s="5">
        <v>6.48</v>
      </c>
      <c r="D6" s="6"/>
      <c r="G6" s="52">
        <v>44835</v>
      </c>
      <c r="H6" s="8" t="s">
        <v>807</v>
      </c>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2970.4320000000002</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2593.8530000000001</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15" t="s">
        <v>10</v>
      </c>
      <c r="C15" s="116"/>
      <c r="D15" s="117"/>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06" t="s">
        <v>63</v>
      </c>
      <c r="D16" s="107"/>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06" t="s">
        <v>64</v>
      </c>
      <c r="D17" s="107"/>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06" t="s">
        <v>65</v>
      </c>
      <c r="D18" s="107"/>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18" t="s">
        <v>67</v>
      </c>
      <c r="D19" s="119"/>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15" t="s">
        <v>13</v>
      </c>
      <c r="C22" s="116"/>
      <c r="D22" s="117"/>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06" t="s">
        <v>59</v>
      </c>
      <c r="D23" s="107"/>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06">
        <v>1996</v>
      </c>
      <c r="D24" s="107"/>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06">
        <v>422</v>
      </c>
      <c r="D26" s="107"/>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20">
        <f>'Financial Model'!Q52</f>
        <v>954.39400000000001</v>
      </c>
      <c r="D27" s="121"/>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106" t="s">
        <v>789</v>
      </c>
      <c r="D29" s="107"/>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08" t="s">
        <v>18</v>
      </c>
      <c r="D30" s="109"/>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15" t="s">
        <v>56</v>
      </c>
      <c r="C33" s="116"/>
      <c r="D33" s="117"/>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04">
        <f>C12/SUM('Financial Model'!N20:Q20)</f>
        <v>15.153400361038278</v>
      </c>
      <c r="D34" s="105"/>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04">
        <f>C6/SUM('Financial Model'!N21:Q21)</f>
        <v>17.902221644611082</v>
      </c>
      <c r="D35" s="105"/>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06"/>
      <c r="D36" s="107"/>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04">
        <f>C6/'Financial Model'!Q77</f>
        <v>1.7179676073321593</v>
      </c>
      <c r="D37" s="105"/>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10">
        <f>C8/SUM('Financial Model'!N9:Q9)</f>
        <v>0.51887640641782984</v>
      </c>
      <c r="D38" s="111"/>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10">
        <f>C12/SUM('Financial Model'!N9:Q9)</f>
        <v>0.45309541622770927</v>
      </c>
      <c r="D39" s="111"/>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02">
        <f>C6/'Financial Model'!AA21</f>
        <v>8.3776757207132064</v>
      </c>
      <c r="D41" s="103"/>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R5:W5"/>
    <mergeCell ref="G5:O5"/>
    <mergeCell ref="B33:D33"/>
    <mergeCell ref="B5:D5"/>
    <mergeCell ref="B15:D15"/>
    <mergeCell ref="B22:D22"/>
    <mergeCell ref="C16:D16"/>
    <mergeCell ref="C17:D17"/>
    <mergeCell ref="C18:D18"/>
    <mergeCell ref="C19:D19"/>
    <mergeCell ref="C27:D27"/>
    <mergeCell ref="C41:D41"/>
    <mergeCell ref="C34:D34"/>
    <mergeCell ref="C35:D35"/>
    <mergeCell ref="C23:D23"/>
    <mergeCell ref="C24:D24"/>
    <mergeCell ref="C30:D30"/>
    <mergeCell ref="C26:D26"/>
    <mergeCell ref="C37:D37"/>
    <mergeCell ref="C36:D36"/>
    <mergeCell ref="C29:D29"/>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R107"/>
  <sheetViews>
    <sheetView zoomScaleNormal="100" workbookViewId="0">
      <pane xSplit="2" ySplit="2" topLeftCell="C3" activePane="bottomRight" state="frozen"/>
      <selection pane="topRight" activeCell="C1" sqref="C1"/>
      <selection pane="bottomLeft" activeCell="A3" sqref="A3"/>
      <selection pane="bottomRight" activeCell="L92" sqref="L92"/>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7" width="9.140625" style="1"/>
    <col min="18" max="18" width="9.140625" style="75"/>
    <col min="19" max="27" width="9.140625" style="1"/>
    <col min="28" max="28" width="9.140625" style="75"/>
    <col min="29" max="46" width="9.140625" style="32"/>
    <col min="47"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77" t="s">
        <v>32</v>
      </c>
      <c r="S1" s="16" t="s">
        <v>788</v>
      </c>
      <c r="U1" s="16" t="s">
        <v>813</v>
      </c>
      <c r="V1" s="50" t="s">
        <v>812</v>
      </c>
      <c r="W1" s="16" t="s">
        <v>111</v>
      </c>
      <c r="X1" s="50" t="s">
        <v>110</v>
      </c>
      <c r="Y1" s="16" t="s">
        <v>33</v>
      </c>
      <c r="Z1" s="50" t="s">
        <v>34</v>
      </c>
      <c r="AA1" s="50" t="s">
        <v>35</v>
      </c>
      <c r="AB1" s="77" t="s">
        <v>36</v>
      </c>
      <c r="AC1" s="85" t="s">
        <v>37</v>
      </c>
      <c r="AD1" s="85" t="s">
        <v>38</v>
      </c>
      <c r="AE1" s="85" t="s">
        <v>39</v>
      </c>
      <c r="AF1" s="85" t="s">
        <v>40</v>
      </c>
      <c r="AG1" s="85" t="s">
        <v>41</v>
      </c>
      <c r="AH1" s="85" t="s">
        <v>42</v>
      </c>
      <c r="AI1" s="85" t="s">
        <v>43</v>
      </c>
      <c r="AJ1" s="85" t="s">
        <v>44</v>
      </c>
      <c r="AK1" s="85" t="s">
        <v>45</v>
      </c>
      <c r="AL1" s="85" t="s">
        <v>46</v>
      </c>
      <c r="AM1" s="85" t="s">
        <v>47</v>
      </c>
      <c r="AN1" s="85" t="s">
        <v>48</v>
      </c>
      <c r="AO1" s="85" t="s">
        <v>49</v>
      </c>
      <c r="AP1" s="85" t="s">
        <v>50</v>
      </c>
      <c r="AQ1" s="85" t="s">
        <v>51</v>
      </c>
      <c r="AR1" s="85" t="s">
        <v>52</v>
      </c>
      <c r="AS1" s="85" t="s">
        <v>53</v>
      </c>
      <c r="AT1" s="85" t="s">
        <v>54</v>
      </c>
    </row>
    <row r="2" spans="2:46" s="18" customFormat="1" x14ac:dyDescent="0.2">
      <c r="B2" s="17"/>
      <c r="H2" s="24">
        <v>43921</v>
      </c>
      <c r="I2" s="24">
        <v>44012</v>
      </c>
      <c r="J2" s="24">
        <v>44104</v>
      </c>
      <c r="K2" s="24">
        <v>44196</v>
      </c>
      <c r="L2" s="24">
        <v>44286</v>
      </c>
      <c r="M2" s="24">
        <v>44377</v>
      </c>
      <c r="N2" s="24">
        <v>44469</v>
      </c>
      <c r="O2" s="24">
        <v>44561</v>
      </c>
      <c r="P2" s="24">
        <v>44651</v>
      </c>
      <c r="Q2" s="24">
        <v>44742</v>
      </c>
      <c r="R2" s="78" t="s">
        <v>811</v>
      </c>
      <c r="U2" s="24">
        <v>42369</v>
      </c>
      <c r="V2" s="24">
        <v>42735</v>
      </c>
      <c r="W2" s="24">
        <v>43100</v>
      </c>
      <c r="X2" s="24">
        <v>43465</v>
      </c>
      <c r="Y2" s="18" t="s">
        <v>81</v>
      </c>
      <c r="Z2" s="24">
        <v>44196</v>
      </c>
      <c r="AA2" s="24">
        <v>44561</v>
      </c>
      <c r="AB2" s="78" t="s">
        <v>811</v>
      </c>
      <c r="AC2" s="84"/>
      <c r="AD2" s="84"/>
      <c r="AE2" s="84"/>
      <c r="AF2" s="84"/>
      <c r="AG2" s="84"/>
      <c r="AH2" s="84"/>
      <c r="AI2" s="84"/>
      <c r="AJ2" s="84"/>
      <c r="AK2" s="84"/>
      <c r="AL2" s="84"/>
      <c r="AM2" s="84"/>
      <c r="AN2" s="84"/>
      <c r="AO2" s="84"/>
      <c r="AP2" s="84"/>
      <c r="AQ2" s="84"/>
      <c r="AR2" s="84"/>
      <c r="AS2" s="84"/>
      <c r="AT2" s="84"/>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71"/>
      <c r="S3" s="56"/>
      <c r="T3" s="56"/>
      <c r="U3" s="56">
        <v>2801.0619999999999</v>
      </c>
      <c r="V3" s="56">
        <v>3229.1419999999998</v>
      </c>
      <c r="W3" s="56">
        <v>3287.1210000000001</v>
      </c>
      <c r="X3" s="56">
        <v>3462.3719999999998</v>
      </c>
      <c r="Y3" s="56">
        <v>3470.2849999999999</v>
      </c>
      <c r="Z3" s="56">
        <v>2882.5619999999999</v>
      </c>
      <c r="AA3" s="56">
        <v>3841.2489999999998</v>
      </c>
      <c r="AB3" s="74">
        <f>AA3*1.18</f>
        <v>4532.6738199999991</v>
      </c>
      <c r="AD3" s="65"/>
      <c r="AE3" s="65"/>
      <c r="AF3" s="65"/>
      <c r="AG3" s="65"/>
      <c r="AH3" s="65"/>
      <c r="AI3" s="65"/>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71"/>
      <c r="S4" s="56"/>
      <c r="T4" s="56"/>
      <c r="U4" s="56">
        <v>677.74400000000003</v>
      </c>
      <c r="V4" s="56">
        <v>1013.544</v>
      </c>
      <c r="W4" s="56">
        <v>1037.8399999999999</v>
      </c>
      <c r="X4" s="56">
        <v>1063.175</v>
      </c>
      <c r="Y4" s="56">
        <v>1086.5509999999999</v>
      </c>
      <c r="Z4" s="56">
        <v>934.33299999999997</v>
      </c>
      <c r="AA4" s="56">
        <v>1264.127</v>
      </c>
      <c r="AB4" s="74">
        <f>AA4*1.04</f>
        <v>1314.69208</v>
      </c>
      <c r="AD4" s="65"/>
      <c r="AE4" s="65"/>
      <c r="AF4" s="65"/>
      <c r="AG4" s="65"/>
      <c r="AH4" s="65"/>
      <c r="AI4" s="65"/>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72"/>
      <c r="S5" s="56"/>
      <c r="T5" s="56"/>
      <c r="U5" s="56">
        <v>346.88499999999999</v>
      </c>
      <c r="V5" s="56">
        <v>406.61399999999998</v>
      </c>
      <c r="W5" s="56">
        <v>445.83800000000002</v>
      </c>
      <c r="X5" s="56">
        <v>422.49599999999998</v>
      </c>
      <c r="Y5" s="56">
        <v>416.35399999999998</v>
      </c>
      <c r="Z5" s="56">
        <v>414.08199999999999</v>
      </c>
      <c r="AA5" s="56">
        <v>461.89400000000001</v>
      </c>
      <c r="AB5" s="74">
        <f>AA5*1.015</f>
        <v>468.82240999999993</v>
      </c>
      <c r="AD5" s="65"/>
      <c r="AE5" s="65"/>
      <c r="AF5" s="65"/>
      <c r="AG5" s="65"/>
      <c r="AH5" s="65"/>
      <c r="AI5" s="65"/>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73"/>
      <c r="S6" s="55"/>
      <c r="T6" s="55"/>
      <c r="U6" s="55">
        <f t="shared" ref="U6:X6" si="1">SUM(U3:U5)</f>
        <v>3825.6909999999998</v>
      </c>
      <c r="V6" s="55">
        <f t="shared" si="1"/>
        <v>4649.2999999999993</v>
      </c>
      <c r="W6" s="55">
        <f t="shared" si="1"/>
        <v>4770.799</v>
      </c>
      <c r="X6" s="55">
        <f t="shared" si="1"/>
        <v>4948.0429999999997</v>
      </c>
      <c r="Y6" s="55">
        <f>SUM(Y3:Y5)</f>
        <v>4973.1899999999996</v>
      </c>
      <c r="Z6" s="55">
        <f>SUM(Z3:Z5)</f>
        <v>4230.9769999999999</v>
      </c>
      <c r="AA6" s="55">
        <f>SUM(AA3:AA5)</f>
        <v>5567.27</v>
      </c>
      <c r="AB6" s="73">
        <f>SUM(AB3:AB5)</f>
        <v>6316.1883099999986</v>
      </c>
      <c r="AC6" s="55">
        <f>AB6*1.2</f>
        <v>7579.4259719999982</v>
      </c>
      <c r="AD6" s="55">
        <f t="shared" ref="AD6:AL6" si="2">AC6*1.2</f>
        <v>9095.3111663999971</v>
      </c>
      <c r="AE6" s="55">
        <f t="shared" si="2"/>
        <v>10914.373399679997</v>
      </c>
      <c r="AF6" s="55">
        <f t="shared" si="2"/>
        <v>13097.248079615996</v>
      </c>
      <c r="AG6" s="55">
        <f t="shared" si="2"/>
        <v>15716.697695539195</v>
      </c>
      <c r="AH6" s="55">
        <f t="shared" si="2"/>
        <v>18860.037234647032</v>
      </c>
      <c r="AI6" s="55">
        <f t="shared" si="2"/>
        <v>22632.044681576437</v>
      </c>
      <c r="AJ6" s="55">
        <f t="shared" si="2"/>
        <v>27158.453617891722</v>
      </c>
      <c r="AK6" s="55">
        <f t="shared" si="2"/>
        <v>32590.144341470066</v>
      </c>
      <c r="AL6" s="55">
        <f t="shared" si="2"/>
        <v>39108.173209764078</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74"/>
      <c r="S7" s="56"/>
      <c r="T7" s="56"/>
      <c r="U7" s="56">
        <v>84.206999999999994</v>
      </c>
      <c r="V7" s="56">
        <v>99.849000000000004</v>
      </c>
      <c r="W7" s="56">
        <v>116.575</v>
      </c>
      <c r="X7" s="56">
        <v>124.785</v>
      </c>
      <c r="Y7" s="56">
        <v>138.77500000000001</v>
      </c>
      <c r="Z7" s="56">
        <v>105.779</v>
      </c>
      <c r="AA7" s="56">
        <v>112.623</v>
      </c>
      <c r="AB7" s="74">
        <f>AA7*1.06</f>
        <v>119.38038000000002</v>
      </c>
      <c r="AC7" s="56">
        <f>AB7*1.06</f>
        <v>126.54320280000002</v>
      </c>
      <c r="AD7" s="56">
        <f t="shared" ref="AD7:AG7" si="3">AC7*1.06</f>
        <v>134.13579496800003</v>
      </c>
      <c r="AE7" s="56">
        <f t="shared" si="3"/>
        <v>142.18394266608004</v>
      </c>
      <c r="AF7" s="56">
        <f t="shared" si="3"/>
        <v>150.71497922604485</v>
      </c>
      <c r="AG7" s="56">
        <f t="shared" si="3"/>
        <v>159.75787797960754</v>
      </c>
      <c r="AH7" s="56">
        <f>AG7*1.03</f>
        <v>164.55061431899577</v>
      </c>
      <c r="AI7" s="56">
        <f t="shared" ref="AI7:AL7" si="4">AH7*1.03</f>
        <v>169.48713274856564</v>
      </c>
      <c r="AJ7" s="56">
        <f t="shared" si="4"/>
        <v>174.57174673102261</v>
      </c>
      <c r="AK7" s="56">
        <f t="shared" si="4"/>
        <v>179.80889913295329</v>
      </c>
      <c r="AL7" s="56">
        <f t="shared" si="4"/>
        <v>185.20316610694189</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74"/>
      <c r="S8" s="56"/>
      <c r="T8" s="56"/>
      <c r="U8" s="56">
        <v>53.414999999999999</v>
      </c>
      <c r="V8" s="56">
        <f>80.447-1.41</f>
        <v>79.037000000000006</v>
      </c>
      <c r="W8" s="56">
        <v>101.87</v>
      </c>
      <c r="X8" s="56">
        <v>120.357</v>
      </c>
      <c r="Y8" s="56">
        <v>155.167</v>
      </c>
      <c r="Z8" s="56">
        <v>137.911</v>
      </c>
      <c r="AA8" s="56">
        <v>3.573</v>
      </c>
      <c r="AB8" s="74">
        <f>AA8*0.65</f>
        <v>2.3224499999999999</v>
      </c>
      <c r="AC8" s="56">
        <f>AB8*1.5</f>
        <v>3.4836749999999999</v>
      </c>
      <c r="AD8" s="56">
        <f t="shared" ref="AD8:AG8" si="5">AC8*1.5</f>
        <v>5.2255124999999998</v>
      </c>
      <c r="AE8" s="56">
        <f t="shared" si="5"/>
        <v>7.8382687499999992</v>
      </c>
      <c r="AF8" s="56">
        <f t="shared" si="5"/>
        <v>11.757403125</v>
      </c>
      <c r="AG8" s="56">
        <f t="shared" si="5"/>
        <v>17.636104687500001</v>
      </c>
      <c r="AH8" s="56">
        <f>AG8*1.025</f>
        <v>18.077007304687498</v>
      </c>
      <c r="AI8" s="56">
        <f t="shared" ref="AI8:AL8" si="6">AH8*1.025</f>
        <v>18.528932487304683</v>
      </c>
      <c r="AJ8" s="56">
        <f t="shared" si="6"/>
        <v>18.9921557994873</v>
      </c>
      <c r="AK8" s="56">
        <f t="shared" si="6"/>
        <v>19.466959694474479</v>
      </c>
      <c r="AL8" s="56">
        <f t="shared" si="6"/>
        <v>19.953633686836341</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73">
        <f>Q9*1.065</f>
        <v>1436.745705</v>
      </c>
      <c r="U9" s="21">
        <f t="shared" ref="U9:V9" si="7">U6+U7+U8</f>
        <v>3963.3129999999996</v>
      </c>
      <c r="V9" s="21">
        <f t="shared" si="7"/>
        <v>4828.1859999999997</v>
      </c>
      <c r="W9" s="21">
        <f>W6+W7+W8</f>
        <v>4989.2439999999997</v>
      </c>
      <c r="X9" s="21">
        <f>X6+X7+X8</f>
        <v>5193.1849999999995</v>
      </c>
      <c r="Y9" s="21">
        <v>5267.1319999999996</v>
      </c>
      <c r="Z9" s="21">
        <v>4474.6670000000004</v>
      </c>
      <c r="AA9" s="21">
        <v>5683.4660000000003</v>
      </c>
      <c r="AB9" s="73">
        <f>AB6+AB7+AB8</f>
        <v>6437.8911399999979</v>
      </c>
      <c r="AC9" s="21">
        <f t="shared" ref="AC9:AL9" si="8">AC6+AC7+AC8</f>
        <v>7709.4528497999991</v>
      </c>
      <c r="AD9" s="21">
        <f t="shared" si="8"/>
        <v>9234.6724738679968</v>
      </c>
      <c r="AE9" s="21">
        <f t="shared" si="8"/>
        <v>11064.395611096077</v>
      </c>
      <c r="AF9" s="21">
        <f t="shared" si="8"/>
        <v>13259.720461967041</v>
      </c>
      <c r="AG9" s="21">
        <f t="shared" si="8"/>
        <v>15894.091678206303</v>
      </c>
      <c r="AH9" s="21">
        <f t="shared" si="8"/>
        <v>19042.664856270716</v>
      </c>
      <c r="AI9" s="21">
        <f t="shared" si="8"/>
        <v>22820.060746812309</v>
      </c>
      <c r="AJ9" s="21">
        <f t="shared" si="8"/>
        <v>27352.017520422232</v>
      </c>
      <c r="AK9" s="21">
        <f t="shared" si="8"/>
        <v>32789.420200297493</v>
      </c>
      <c r="AL9" s="21">
        <f t="shared" si="8"/>
        <v>39313.330009557852</v>
      </c>
      <c r="AM9" s="58"/>
      <c r="AN9" s="58"/>
      <c r="AO9" s="58"/>
      <c r="AP9" s="58"/>
      <c r="AQ9" s="58"/>
      <c r="AR9" s="58"/>
      <c r="AS9" s="58"/>
      <c r="AT9" s="58"/>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74">
        <f>Q10*1.03</f>
        <v>740.42579999999998</v>
      </c>
      <c r="U10" s="22">
        <v>2057.7660000000001</v>
      </c>
      <c r="V10" s="22">
        <v>2584.7240000000002</v>
      </c>
      <c r="W10" s="22">
        <v>2737.83</v>
      </c>
      <c r="X10" s="22">
        <v>2852.7139999999999</v>
      </c>
      <c r="Y10" s="22">
        <v>2796.5990000000002</v>
      </c>
      <c r="Z10" s="22">
        <v>2314.5720000000001</v>
      </c>
      <c r="AA10" s="22">
        <v>2821.9670000000001</v>
      </c>
      <c r="AB10" s="74">
        <f>AA10*1.19</f>
        <v>3358.1407300000001</v>
      </c>
      <c r="AC10" s="56">
        <f>AC9*0.5</f>
        <v>3854.7264248999995</v>
      </c>
      <c r="AD10" s="56">
        <f t="shared" ref="AD10" si="9">AD9*0.5</f>
        <v>4617.3362369339984</v>
      </c>
      <c r="AE10" s="56">
        <f t="shared" ref="AE10" si="10">AE9*0.5</f>
        <v>5532.1978055480386</v>
      </c>
      <c r="AF10" s="56">
        <f>AF9*0.49</f>
        <v>6497.2630263638503</v>
      </c>
      <c r="AG10" s="56">
        <f>AG9*0.49</f>
        <v>7788.1049223210885</v>
      </c>
      <c r="AH10" s="56">
        <f>AH9*0.49</f>
        <v>9330.9057795726512</v>
      </c>
      <c r="AI10" s="56">
        <f>AI9*0.475</f>
        <v>10839.528854735847</v>
      </c>
      <c r="AJ10" s="56">
        <f t="shared" ref="AJ10:AL10" si="11">AJ9*0.475</f>
        <v>12992.20832220056</v>
      </c>
      <c r="AK10" s="56">
        <f t="shared" si="11"/>
        <v>15574.974595141308</v>
      </c>
      <c r="AL10" s="56">
        <f t="shared" si="11"/>
        <v>18673.83175453998</v>
      </c>
    </row>
    <row r="11" spans="2:46" s="2" customFormat="1" x14ac:dyDescent="0.2">
      <c r="B11" s="2" t="s">
        <v>70</v>
      </c>
      <c r="H11" s="21">
        <f t="shared" ref="H11:R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73">
        <f t="shared" si="12"/>
        <v>696.31990500000006</v>
      </c>
      <c r="U11" s="21">
        <f t="shared" ref="U11:X11" si="13">U9-U10</f>
        <v>1905.5469999999996</v>
      </c>
      <c r="V11" s="21">
        <f t="shared" si="13"/>
        <v>2243.4619999999995</v>
      </c>
      <c r="W11" s="21">
        <f t="shared" si="13"/>
        <v>2251.4139999999998</v>
      </c>
      <c r="X11" s="21">
        <f t="shared" si="13"/>
        <v>2340.4709999999995</v>
      </c>
      <c r="Y11" s="21">
        <f>Y9-Y10</f>
        <v>2470.5329999999994</v>
      </c>
      <c r="Z11" s="21">
        <f>Z9-Z10</f>
        <v>2160.0950000000003</v>
      </c>
      <c r="AA11" s="21">
        <f>AA9-AA10</f>
        <v>2861.4990000000003</v>
      </c>
      <c r="AB11" s="73">
        <f>AB9-AB10</f>
        <v>3079.7504099999978</v>
      </c>
      <c r="AC11" s="55">
        <f t="shared" ref="AC11:AL11" si="14">AC9-AC10</f>
        <v>3854.7264248999995</v>
      </c>
      <c r="AD11" s="55">
        <f t="shared" si="14"/>
        <v>4617.3362369339984</v>
      </c>
      <c r="AE11" s="55">
        <f t="shared" si="14"/>
        <v>5532.1978055480386</v>
      </c>
      <c r="AF11" s="55">
        <f t="shared" si="14"/>
        <v>6762.4574356031908</v>
      </c>
      <c r="AG11" s="55">
        <f t="shared" si="14"/>
        <v>8105.9867558852147</v>
      </c>
      <c r="AH11" s="55">
        <f t="shared" si="14"/>
        <v>9711.7590766980647</v>
      </c>
      <c r="AI11" s="55">
        <f t="shared" si="14"/>
        <v>11980.531892076462</v>
      </c>
      <c r="AJ11" s="55">
        <f t="shared" si="14"/>
        <v>14359.809198221672</v>
      </c>
      <c r="AK11" s="55">
        <f t="shared" si="14"/>
        <v>17214.445605156187</v>
      </c>
      <c r="AL11" s="55">
        <f t="shared" si="14"/>
        <v>20639.498255017872</v>
      </c>
      <c r="AM11" s="58"/>
      <c r="AN11" s="58"/>
      <c r="AO11" s="58"/>
      <c r="AP11" s="58"/>
      <c r="AQ11" s="58"/>
      <c r="AR11" s="58"/>
      <c r="AS11" s="58"/>
      <c r="AT11" s="58"/>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74">
        <f>AVERAGE(N12:Q12)</f>
        <v>616.30250000000001</v>
      </c>
      <c r="U12" s="22">
        <v>1497</v>
      </c>
      <c r="V12" s="22">
        <v>1823.14</v>
      </c>
      <c r="W12" s="22">
        <v>2099.5219999999999</v>
      </c>
      <c r="X12" s="22">
        <v>2182.3389999999999</v>
      </c>
      <c r="Y12" s="22">
        <v>2233.7600000000002</v>
      </c>
      <c r="Z12" s="22">
        <v>2171.9340000000002</v>
      </c>
      <c r="AA12" s="22">
        <v>2334.6909999999998</v>
      </c>
      <c r="AB12" s="74">
        <f>AA12*1.03</f>
        <v>2404.73173</v>
      </c>
      <c r="AC12" s="56">
        <f>AB12*1.25</f>
        <v>3005.9146624999998</v>
      </c>
      <c r="AD12" s="56">
        <f>AC12*1.25</f>
        <v>3757.3933281249997</v>
      </c>
      <c r="AE12" s="56">
        <f>AD12*1.25</f>
        <v>4696.74166015625</v>
      </c>
      <c r="AF12" s="56">
        <f>AE12*1.25</f>
        <v>5870.9270751953127</v>
      </c>
      <c r="AG12" s="56">
        <f t="shared" ref="AG12:AH12" si="15">AF12*1.25</f>
        <v>7338.6588439941406</v>
      </c>
      <c r="AH12" s="56">
        <f t="shared" si="15"/>
        <v>9173.3235549926758</v>
      </c>
      <c r="AI12" s="56">
        <f>AH12*1.2</f>
        <v>11007.988265991211</v>
      </c>
      <c r="AJ12" s="56">
        <f t="shared" ref="AJ12:AL12" si="16">AI12*1.2</f>
        <v>13209.585919189452</v>
      </c>
      <c r="AK12" s="56">
        <f t="shared" si="16"/>
        <v>15851.503103027342</v>
      </c>
      <c r="AL12" s="56">
        <f t="shared" si="16"/>
        <v>19021.803723632809</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75">
        <v>0</v>
      </c>
      <c r="U13" s="22">
        <v>0</v>
      </c>
      <c r="V13" s="22">
        <v>0</v>
      </c>
      <c r="W13" s="22">
        <v>124.04900000000001</v>
      </c>
      <c r="X13" s="22">
        <v>183.149</v>
      </c>
      <c r="Y13" s="22">
        <v>0</v>
      </c>
      <c r="Z13" s="22">
        <v>601.59900000000005</v>
      </c>
      <c r="AA13" s="22">
        <v>40.518000000000001</v>
      </c>
      <c r="AB13" s="74">
        <f>AA13*0.79</f>
        <v>32.009219999999999</v>
      </c>
      <c r="AC13" s="56">
        <f>AB13*1.05</f>
        <v>33.609681000000002</v>
      </c>
      <c r="AD13" s="56">
        <f t="shared" ref="AD13:AG13" si="17">AC13*1.05</f>
        <v>35.290165050000006</v>
      </c>
      <c r="AE13" s="56">
        <f t="shared" si="17"/>
        <v>37.054673302500007</v>
      </c>
      <c r="AF13" s="56">
        <f t="shared" si="17"/>
        <v>38.907406967625008</v>
      </c>
      <c r="AG13" s="56">
        <f t="shared" si="17"/>
        <v>40.852777316006261</v>
      </c>
      <c r="AH13" s="56">
        <f>AG13*1.1</f>
        <v>44.938055047606888</v>
      </c>
      <c r="AI13" s="56">
        <f t="shared" ref="AI13:AL13" si="18">AH13*1.1</f>
        <v>49.431860552367581</v>
      </c>
      <c r="AJ13" s="56">
        <f t="shared" si="18"/>
        <v>54.375046607604347</v>
      </c>
      <c r="AK13" s="56">
        <f t="shared" si="18"/>
        <v>59.812551268364786</v>
      </c>
      <c r="AL13" s="56">
        <f t="shared" si="18"/>
        <v>65.793806395201273</v>
      </c>
    </row>
    <row r="14" spans="2:46" s="2" customFormat="1" x14ac:dyDescent="0.2">
      <c r="B14" s="2" t="s">
        <v>73</v>
      </c>
      <c r="H14" s="21">
        <f t="shared" ref="H14:R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73">
        <f t="shared" si="19"/>
        <v>80.017405000000053</v>
      </c>
      <c r="U14" s="21">
        <f t="shared" ref="U14:X14" si="20">U11-U12-U13</f>
        <v>408.54699999999957</v>
      </c>
      <c r="V14" s="21">
        <f t="shared" si="20"/>
        <v>420.32199999999943</v>
      </c>
      <c r="W14" s="21">
        <f t="shared" si="20"/>
        <v>27.842999999999819</v>
      </c>
      <c r="X14" s="21">
        <f t="shared" si="20"/>
        <v>-25.017000000000394</v>
      </c>
      <c r="Y14" s="21">
        <f>Y11-Y12-Y13</f>
        <v>236.77299999999923</v>
      </c>
      <c r="Z14" s="21">
        <f>Z11-Z12-Z13</f>
        <v>-613.43799999999999</v>
      </c>
      <c r="AA14" s="21">
        <f>AA11-AA12-AA13</f>
        <v>486.29000000000042</v>
      </c>
      <c r="AB14" s="73">
        <f>AB11-AB12-AB13</f>
        <v>643.00945999999783</v>
      </c>
      <c r="AC14" s="21">
        <f t="shared" ref="AC14:AL14" si="21">AC11-AC12-AC13</f>
        <v>815.20208139999966</v>
      </c>
      <c r="AD14" s="21">
        <f t="shared" si="21"/>
        <v>824.65274375899867</v>
      </c>
      <c r="AE14" s="21">
        <f t="shared" si="21"/>
        <v>798.40147208928863</v>
      </c>
      <c r="AF14" s="21">
        <f t="shared" si="21"/>
        <v>852.62295344025313</v>
      </c>
      <c r="AG14" s="21">
        <f t="shared" si="21"/>
        <v>726.47513457506784</v>
      </c>
      <c r="AH14" s="21">
        <f t="shared" si="21"/>
        <v>493.49746665778207</v>
      </c>
      <c r="AI14" s="21">
        <f t="shared" si="21"/>
        <v>923.11176553288362</v>
      </c>
      <c r="AJ14" s="21">
        <f t="shared" si="21"/>
        <v>1095.8482324246152</v>
      </c>
      <c r="AK14" s="21">
        <f t="shared" si="21"/>
        <v>1303.1299508604795</v>
      </c>
      <c r="AL14" s="21">
        <f t="shared" si="21"/>
        <v>1551.9007249898616</v>
      </c>
      <c r="AM14" s="58"/>
      <c r="AN14" s="58"/>
      <c r="AO14" s="58"/>
      <c r="AP14" s="58"/>
      <c r="AQ14" s="58"/>
      <c r="AR14" s="58"/>
      <c r="AS14" s="58"/>
      <c r="AT14" s="58"/>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75">
        <v>-5.5</v>
      </c>
      <c r="U15" s="22">
        <v>-14.628</v>
      </c>
      <c r="V15" s="22">
        <v>-26.434000000000001</v>
      </c>
      <c r="W15" s="22">
        <v>-34.537999999999997</v>
      </c>
      <c r="X15" s="22">
        <v>-33.567999999999998</v>
      </c>
      <c r="Y15" s="22">
        <v>-21.24</v>
      </c>
      <c r="Z15" s="22">
        <v>-47.259</v>
      </c>
      <c r="AA15" s="22">
        <v>-44.3</v>
      </c>
      <c r="AB15" s="74">
        <f>AVERAGE(U15:AA15)</f>
        <v>-31.709571428571426</v>
      </c>
      <c r="AC15" s="56">
        <f>AB15*1.0125</f>
        <v>-32.105941071428568</v>
      </c>
      <c r="AD15" s="56">
        <f t="shared" ref="AD15:AG15" si="22">AC15*1.0125</f>
        <v>-32.507265334821426</v>
      </c>
      <c r="AE15" s="56">
        <f t="shared" si="22"/>
        <v>-32.913606151506691</v>
      </c>
      <c r="AF15" s="56">
        <f t="shared" si="22"/>
        <v>-33.325026228400525</v>
      </c>
      <c r="AG15" s="56">
        <f t="shared" si="22"/>
        <v>-33.741589056255528</v>
      </c>
      <c r="AH15" s="56">
        <f>AG15*1.0352</f>
        <v>-34.929292991035716</v>
      </c>
      <c r="AI15" s="56">
        <f t="shared" ref="AI15:AL15" si="23">AH15*1.0352</f>
        <v>-36.158804104320168</v>
      </c>
      <c r="AJ15" s="56">
        <f t="shared" si="23"/>
        <v>-37.431594008792231</v>
      </c>
      <c r="AK15" s="56">
        <f t="shared" si="23"/>
        <v>-38.749186117901715</v>
      </c>
      <c r="AL15" s="56">
        <f t="shared" si="23"/>
        <v>-40.113157469251853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74">
        <f>AVERAGE(N16:Q16)</f>
        <v>-4.9327500000000004</v>
      </c>
      <c r="U16" s="22">
        <v>-7.234</v>
      </c>
      <c r="V16" s="22">
        <v>-2.7549999999999999</v>
      </c>
      <c r="W16" s="22">
        <v>-3.6139999999999999</v>
      </c>
      <c r="X16" s="22">
        <v>-9.2029999999999994</v>
      </c>
      <c r="Y16" s="22">
        <v>-5.6879999999999997</v>
      </c>
      <c r="Z16" s="22">
        <v>168.15299999999999</v>
      </c>
      <c r="AA16" s="22">
        <v>-51.113</v>
      </c>
      <c r="AB16" s="74">
        <f>SUM(O16:R16)</f>
        <v>4.8122500000000006</v>
      </c>
      <c r="AC16" s="22">
        <f>Q84*AO26</f>
        <v>3.7657900000000009</v>
      </c>
      <c r="AD16" s="22">
        <f t="shared" ref="AD16:AL16" si="24">R84*AP26</f>
        <v>0</v>
      </c>
      <c r="AE16" s="22">
        <f t="shared" si="24"/>
        <v>0</v>
      </c>
      <c r="AF16" s="22">
        <f t="shared" si="24"/>
        <v>0</v>
      </c>
      <c r="AG16" s="22">
        <f t="shared" si="24"/>
        <v>0</v>
      </c>
      <c r="AH16" s="22">
        <f t="shared" si="24"/>
        <v>0</v>
      </c>
      <c r="AI16" s="22">
        <f t="shared" si="24"/>
        <v>0</v>
      </c>
      <c r="AJ16" s="22">
        <f t="shared" si="24"/>
        <v>0</v>
      </c>
      <c r="AK16" s="22">
        <f t="shared" si="24"/>
        <v>0</v>
      </c>
      <c r="AL16" s="22">
        <f t="shared" si="24"/>
        <v>0</v>
      </c>
    </row>
    <row r="17" spans="2:70" x14ac:dyDescent="0.2">
      <c r="B17" s="1" t="s">
        <v>79</v>
      </c>
      <c r="H17" s="22">
        <f t="shared" ref="H17:R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74">
        <f t="shared" si="25"/>
        <v>69.584655000000055</v>
      </c>
      <c r="U17" s="22">
        <f t="shared" ref="U17" si="26">U14+U15+U16</f>
        <v>386.6849999999996</v>
      </c>
      <c r="V17" s="22">
        <f t="shared" ref="V17:X17" si="27">V14+V15+V16</f>
        <v>391.13299999999941</v>
      </c>
      <c r="W17" s="22">
        <f t="shared" si="27"/>
        <v>-10.309000000000179</v>
      </c>
      <c r="X17" s="22">
        <f t="shared" si="27"/>
        <v>-67.788000000000395</v>
      </c>
      <c r="Y17" s="22">
        <f>Y14+Y15+Y16</f>
        <v>209.84499999999923</v>
      </c>
      <c r="Z17" s="22">
        <f>Z14+Z15+Z16</f>
        <v>-492.54399999999998</v>
      </c>
      <c r="AA17" s="22">
        <f>AA14+AA15+AA16</f>
        <v>390.87700000000041</v>
      </c>
      <c r="AB17" s="74">
        <f>AB14+AB15+AB16</f>
        <v>616.11213857142639</v>
      </c>
      <c r="AC17" s="22">
        <f t="shared" ref="AC17:AL17" si="28">AC14+AC15+AC16</f>
        <v>786.86193032857113</v>
      </c>
      <c r="AD17" s="22">
        <f t="shared" si="28"/>
        <v>792.14547842417721</v>
      </c>
      <c r="AE17" s="22">
        <f t="shared" si="28"/>
        <v>765.48786593778198</v>
      </c>
      <c r="AF17" s="22">
        <f t="shared" si="28"/>
        <v>819.29792721185265</v>
      </c>
      <c r="AG17" s="22">
        <f t="shared" si="28"/>
        <v>692.73354551881232</v>
      </c>
      <c r="AH17" s="22">
        <f t="shared" si="28"/>
        <v>458.56817366674636</v>
      </c>
      <c r="AI17" s="22">
        <f t="shared" si="28"/>
        <v>886.95296142856341</v>
      </c>
      <c r="AJ17" s="22">
        <f t="shared" si="28"/>
        <v>1058.4166384158229</v>
      </c>
      <c r="AK17" s="22">
        <f t="shared" si="28"/>
        <v>1264.3807647425779</v>
      </c>
      <c r="AL17" s="22">
        <f t="shared" si="28"/>
        <v>1511.7875675206099</v>
      </c>
    </row>
    <row r="18" spans="2:70"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74">
        <f>R17*0.4</f>
        <v>27.833862000000025</v>
      </c>
      <c r="U18" s="22">
        <v>154.11199999999999</v>
      </c>
      <c r="V18" s="22">
        <v>132.47300000000001</v>
      </c>
      <c r="W18" s="22">
        <v>37.951000000000001</v>
      </c>
      <c r="X18" s="22">
        <v>-20.552</v>
      </c>
      <c r="Y18" s="22">
        <v>70.024000000000001</v>
      </c>
      <c r="Z18" s="22">
        <v>49.387</v>
      </c>
      <c r="AA18" s="22">
        <v>32.072000000000003</v>
      </c>
      <c r="AB18" s="74">
        <f>AB17*0.08</f>
        <v>49.28897108571411</v>
      </c>
      <c r="AC18" s="56">
        <f>AC17*0.15</f>
        <v>118.02928954928566</v>
      </c>
      <c r="AD18" s="56">
        <f t="shared" ref="AD18:AL18" si="29">AD17*0.15</f>
        <v>118.82182176362657</v>
      </c>
      <c r="AE18" s="56">
        <f t="shared" si="29"/>
        <v>114.82317989066729</v>
      </c>
      <c r="AF18" s="56">
        <f t="shared" si="29"/>
        <v>122.8946890817779</v>
      </c>
      <c r="AG18" s="56">
        <f t="shared" si="29"/>
        <v>103.91003182782184</v>
      </c>
      <c r="AH18" s="56">
        <f t="shared" si="29"/>
        <v>68.785226050011957</v>
      </c>
      <c r="AI18" s="56">
        <f t="shared" si="29"/>
        <v>133.04294421428452</v>
      </c>
      <c r="AJ18" s="56">
        <f t="shared" si="29"/>
        <v>158.76249576237345</v>
      </c>
      <c r="AK18" s="56">
        <f t="shared" si="29"/>
        <v>189.65711471138667</v>
      </c>
      <c r="AL18" s="56">
        <f t="shared" si="29"/>
        <v>226.76813512809147</v>
      </c>
    </row>
    <row r="19" spans="2:70"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74">
        <f>AVERAGE(N19:Q19)</f>
        <v>-0.20025000000000001</v>
      </c>
      <c r="U19" s="22">
        <v>0</v>
      </c>
      <c r="V19" s="22">
        <v>0</v>
      </c>
      <c r="W19" s="22">
        <v>0</v>
      </c>
      <c r="X19" s="22">
        <v>0.93400000000000005</v>
      </c>
      <c r="Y19" s="22">
        <v>-47.679000000000002</v>
      </c>
      <c r="Z19" s="22">
        <v>-7.2460000000000004</v>
      </c>
      <c r="AA19" s="22">
        <v>1.2549999999999999</v>
      </c>
      <c r="AB19" s="74">
        <f>AVERAGE(U19:AA19)</f>
        <v>-7.5337142857142867</v>
      </c>
      <c r="AC19" s="22">
        <f>AB19*1.01</f>
        <v>-7.6090514285714299</v>
      </c>
      <c r="AD19" s="22">
        <f t="shared" ref="AD19:AL19" si="30">AC19*1.01</f>
        <v>-7.6851419428571441</v>
      </c>
      <c r="AE19" s="22">
        <f t="shared" si="30"/>
        <v>-7.7619933622857156</v>
      </c>
      <c r="AF19" s="22">
        <f t="shared" si="30"/>
        <v>-7.8396132959085731</v>
      </c>
      <c r="AG19" s="22">
        <f t="shared" si="30"/>
        <v>-7.9180094288676592</v>
      </c>
      <c r="AH19" s="22">
        <f t="shared" si="30"/>
        <v>-7.9971895231563357</v>
      </c>
      <c r="AI19" s="22">
        <f t="shared" si="30"/>
        <v>-8.0771614183878988</v>
      </c>
      <c r="AJ19" s="22">
        <f t="shared" si="30"/>
        <v>-8.157933032571778</v>
      </c>
      <c r="AK19" s="22">
        <f t="shared" si="30"/>
        <v>-8.2395123628974964</v>
      </c>
      <c r="AL19" s="22">
        <f t="shared" si="30"/>
        <v>-8.3219074865264719</v>
      </c>
    </row>
    <row r="20" spans="2:70" s="2" customFormat="1" x14ac:dyDescent="0.2">
      <c r="B20" s="2" t="s">
        <v>75</v>
      </c>
      <c r="H20" s="21">
        <f t="shared" ref="H20:R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79">
        <f t="shared" si="31"/>
        <v>41.550543000000033</v>
      </c>
      <c r="U20" s="21">
        <f t="shared" ref="U20:X20" si="32">U17-U18+U19</f>
        <v>232.57299999999961</v>
      </c>
      <c r="V20" s="21">
        <f t="shared" si="32"/>
        <v>258.6599999999994</v>
      </c>
      <c r="W20" s="21">
        <f t="shared" si="32"/>
        <v>-48.260000000000176</v>
      </c>
      <c r="X20" s="21">
        <f t="shared" si="32"/>
        <v>-46.302000000000398</v>
      </c>
      <c r="Y20" s="21">
        <f>Y17-Y18+Y19</f>
        <v>92.141999999999229</v>
      </c>
      <c r="Z20" s="21">
        <f>Z17-Z18+Z19</f>
        <v>-549.17700000000002</v>
      </c>
      <c r="AA20" s="21">
        <f>AA17-AA18+AA19</f>
        <v>360.0600000000004</v>
      </c>
      <c r="AB20" s="73">
        <f>AB17-AB18+AB19</f>
        <v>559.28945319999798</v>
      </c>
      <c r="AC20" s="21">
        <f t="shared" ref="AC20:AL20" si="33">AC17-AC18+AC19</f>
        <v>661.22358935071406</v>
      </c>
      <c r="AD20" s="21">
        <f t="shared" si="33"/>
        <v>665.63851471769351</v>
      </c>
      <c r="AE20" s="21">
        <f t="shared" si="33"/>
        <v>642.90269268482893</v>
      </c>
      <c r="AF20" s="21">
        <f t="shared" si="33"/>
        <v>688.56362483416626</v>
      </c>
      <c r="AG20" s="21">
        <f t="shared" si="33"/>
        <v>580.9055042621228</v>
      </c>
      <c r="AH20" s="21">
        <f t="shared" si="33"/>
        <v>381.78575809357807</v>
      </c>
      <c r="AI20" s="21">
        <f t="shared" si="33"/>
        <v>745.83285579589108</v>
      </c>
      <c r="AJ20" s="21">
        <f t="shared" si="33"/>
        <v>891.49620962087772</v>
      </c>
      <c r="AK20" s="21">
        <f t="shared" si="33"/>
        <v>1066.4841376682937</v>
      </c>
      <c r="AL20" s="21">
        <f t="shared" si="33"/>
        <v>1276.6975249059919</v>
      </c>
      <c r="AM20" s="55">
        <f>AL20*(1+$AO$24)</f>
        <v>1263.930549656932</v>
      </c>
      <c r="AN20" s="55">
        <f t="shared" ref="AN20:BR20" si="34">AM20*(1+$AO$24)</f>
        <v>1251.2912441603628</v>
      </c>
      <c r="AO20" s="55">
        <f t="shared" si="34"/>
        <v>1238.7783317187591</v>
      </c>
      <c r="AP20" s="55">
        <f t="shared" si="34"/>
        <v>1226.3905484015716</v>
      </c>
      <c r="AQ20" s="55">
        <f t="shared" si="34"/>
        <v>1214.1266429175557</v>
      </c>
      <c r="AR20" s="55">
        <f t="shared" si="34"/>
        <v>1201.9853764883801</v>
      </c>
      <c r="AS20" s="55">
        <f t="shared" si="34"/>
        <v>1189.9655227234962</v>
      </c>
      <c r="AT20" s="55">
        <f t="shared" si="34"/>
        <v>1178.0658674962613</v>
      </c>
      <c r="AU20" s="55">
        <f t="shared" si="34"/>
        <v>1166.2852088212987</v>
      </c>
      <c r="AV20" s="55">
        <f t="shared" si="34"/>
        <v>1154.6223567330858</v>
      </c>
      <c r="AW20" s="55">
        <f t="shared" si="34"/>
        <v>1143.076133165755</v>
      </c>
      <c r="AX20" s="55">
        <f t="shared" si="34"/>
        <v>1131.6453718340974</v>
      </c>
      <c r="AY20" s="55">
        <f t="shared" si="34"/>
        <v>1120.3289181157566</v>
      </c>
      <c r="AZ20" s="55">
        <f t="shared" si="34"/>
        <v>1109.125628934599</v>
      </c>
      <c r="BA20" s="55">
        <f t="shared" si="34"/>
        <v>1098.0343726452531</v>
      </c>
      <c r="BB20" s="55">
        <f t="shared" si="34"/>
        <v>1087.0540289188007</v>
      </c>
      <c r="BC20" s="55">
        <f t="shared" si="34"/>
        <v>1076.1834886296126</v>
      </c>
      <c r="BD20" s="55">
        <f t="shared" si="34"/>
        <v>1065.4216537433165</v>
      </c>
      <c r="BE20" s="55">
        <f t="shared" si="34"/>
        <v>1054.7674372058832</v>
      </c>
      <c r="BF20" s="55">
        <f t="shared" si="34"/>
        <v>1044.2197628338245</v>
      </c>
      <c r="BG20" s="55">
        <f t="shared" si="34"/>
        <v>1033.7775652054861</v>
      </c>
      <c r="BH20" s="55">
        <f t="shared" si="34"/>
        <v>1023.4397895534312</v>
      </c>
      <c r="BI20" s="55">
        <f t="shared" si="34"/>
        <v>1013.2053916578968</v>
      </c>
      <c r="BJ20" s="55">
        <f t="shared" si="34"/>
        <v>1003.0733377413178</v>
      </c>
      <c r="BK20" s="55">
        <f t="shared" si="34"/>
        <v>993.04260436390462</v>
      </c>
      <c r="BL20" s="55">
        <f t="shared" si="34"/>
        <v>983.11217832026557</v>
      </c>
      <c r="BM20" s="55">
        <f t="shared" si="34"/>
        <v>973.28105653706291</v>
      </c>
      <c r="BN20" s="55">
        <f t="shared" si="34"/>
        <v>963.54824597169227</v>
      </c>
      <c r="BO20" s="55">
        <f t="shared" si="34"/>
        <v>953.9127635119753</v>
      </c>
      <c r="BP20" s="55">
        <f t="shared" si="34"/>
        <v>944.37363587685559</v>
      </c>
      <c r="BQ20" s="55">
        <f t="shared" si="34"/>
        <v>934.92989951808704</v>
      </c>
      <c r="BR20" s="55">
        <f t="shared" si="34"/>
        <v>925.58060052290614</v>
      </c>
    </row>
    <row r="21" spans="2:70" x14ac:dyDescent="0.2">
      <c r="B21" s="1" t="s">
        <v>76</v>
      </c>
      <c r="H21" s="23">
        <f t="shared" ref="H21:Q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80">
        <f>R20/R22</f>
        <v>8.8592963827677812E-2</v>
      </c>
      <c r="U21" s="23">
        <f t="shared" ref="U21" si="36">U20/U22</f>
        <v>0.5396175370537073</v>
      </c>
      <c r="V21" s="23">
        <f t="shared" ref="V21" si="37">V20/V22</f>
        <v>0.59280819563174525</v>
      </c>
      <c r="W21" s="23">
        <f t="shared" ref="W21:X21" si="38">W20/W22</f>
        <v>-0.10950039593491732</v>
      </c>
      <c r="X21" s="23">
        <f t="shared" si="38"/>
        <v>-0.10385922411762816</v>
      </c>
      <c r="Y21" s="23">
        <f>Y20/Y22</f>
        <v>0.20432229623650497</v>
      </c>
      <c r="Z21" s="23">
        <f>Z20/Z22</f>
        <v>-1.2094038833796898</v>
      </c>
      <c r="AA21" s="23">
        <f>AA20/AA22</f>
        <v>0.77348422355124846</v>
      </c>
      <c r="AB21" s="80">
        <f>AB20/AB22</f>
        <v>1.2200505070732806</v>
      </c>
      <c r="AC21" s="91">
        <f>AC20/AC22</f>
        <v>1.4424126377860977</v>
      </c>
      <c r="AD21" s="91">
        <f t="shared" ref="AD21:AL21" si="39">AD20/AD22</f>
        <v>1.4520434861810663</v>
      </c>
      <c r="AE21" s="91">
        <f t="shared" si="39"/>
        <v>1.4024468935022389</v>
      </c>
      <c r="AF21" s="91">
        <f t="shared" si="39"/>
        <v>1.502052997467723</v>
      </c>
      <c r="AG21" s="91">
        <f t="shared" si="39"/>
        <v>1.2672043983336556</v>
      </c>
      <c r="AH21" s="91">
        <f t="shared" si="39"/>
        <v>0.83283871185187663</v>
      </c>
      <c r="AI21" s="91">
        <f t="shared" si="39"/>
        <v>1.6269817867999326</v>
      </c>
      <c r="AJ21" s="91">
        <f t="shared" si="39"/>
        <v>1.9447361225546234</v>
      </c>
      <c r="AK21" s="91">
        <f t="shared" si="39"/>
        <v>2.3264599493216704</v>
      </c>
      <c r="AL21" s="91">
        <f t="shared" si="39"/>
        <v>2.7850256315914441</v>
      </c>
    </row>
    <row r="22" spans="2:70"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74">
        <f>AVERAGE(N22:Q22)</f>
        <v>469.005</v>
      </c>
      <c r="U22" s="22">
        <f>215.498+215.498</f>
        <v>430.99599999999998</v>
      </c>
      <c r="V22" s="22">
        <f>217.707+218.623</f>
        <v>436.33</v>
      </c>
      <c r="W22" s="62">
        <v>440.72899999999998</v>
      </c>
      <c r="X22" s="62">
        <v>445.815</v>
      </c>
      <c r="Y22" s="22">
        <v>450.964</v>
      </c>
      <c r="Z22" s="22">
        <v>454.089</v>
      </c>
      <c r="AA22" s="22">
        <v>465.50400000000002</v>
      </c>
      <c r="AB22" s="74">
        <f>Q22</f>
        <v>458.41500000000002</v>
      </c>
      <c r="AC22" s="56">
        <f>AB22</f>
        <v>458.41500000000002</v>
      </c>
      <c r="AD22" s="56">
        <f t="shared" ref="AD22:AL22" si="40">AC22</f>
        <v>458.41500000000002</v>
      </c>
      <c r="AE22" s="56">
        <f t="shared" si="40"/>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row>
    <row r="24" spans="2:70"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R24" si="41">Q9/M9-1</f>
        <v>-1.8327322879040375E-3</v>
      </c>
      <c r="R24" s="81">
        <f t="shared" si="41"/>
        <v>-7.0387604397708969E-2</v>
      </c>
      <c r="U24" s="16" t="s">
        <v>87</v>
      </c>
      <c r="V24" s="26">
        <f t="shared" ref="V24:W24" si="42">V9/U9-1</f>
        <v>0.21821970659395307</v>
      </c>
      <c r="W24" s="26">
        <f t="shared" si="42"/>
        <v>3.3357869808660956E-2</v>
      </c>
      <c r="X24" s="26">
        <f t="shared" ref="X24:Y24" si="43">X9/W9-1</f>
        <v>4.0876132736743287E-2</v>
      </c>
      <c r="Y24" s="26">
        <f t="shared" si="43"/>
        <v>1.4239238540510346E-2</v>
      </c>
      <c r="Z24" s="26">
        <f>Z9/Y9-1</f>
        <v>-0.15045474463142361</v>
      </c>
      <c r="AA24" s="26">
        <f>AA9/Z9-1</f>
        <v>0.27014278380938728</v>
      </c>
      <c r="AB24" s="81">
        <f t="shared" ref="AB24" si="44">AB9/AA9-1</f>
        <v>0.13274032782108613</v>
      </c>
      <c r="AC24" s="70">
        <f>AC9/AB9-1</f>
        <v>0.19751214833371677</v>
      </c>
      <c r="AD24" s="70">
        <f t="shared" ref="AD24:AL24" si="45">AD9/AC9-1</f>
        <v>0.19783759675079482</v>
      </c>
      <c r="AE24" s="70">
        <f t="shared" si="45"/>
        <v>0.19813622436591838</v>
      </c>
      <c r="AF24" s="70">
        <f t="shared" si="45"/>
        <v>0.19841344507506165</v>
      </c>
      <c r="AG24" s="70">
        <f t="shared" si="45"/>
        <v>0.19867471744939502</v>
      </c>
      <c r="AH24" s="70">
        <f t="shared" si="45"/>
        <v>0.19809708172135942</v>
      </c>
      <c r="AI24" s="70">
        <f t="shared" si="45"/>
        <v>0.19836487797545321</v>
      </c>
      <c r="AJ24" s="70">
        <f t="shared" si="45"/>
        <v>0.1985952984039705</v>
      </c>
      <c r="AK24" s="70">
        <f t="shared" si="45"/>
        <v>0.19879347751278131</v>
      </c>
      <c r="AL24" s="70">
        <f t="shared" si="45"/>
        <v>0.19896386607047023</v>
      </c>
      <c r="AM24" s="58"/>
      <c r="AN24" s="87" t="s">
        <v>824</v>
      </c>
      <c r="AO24" s="88">
        <v>-0.01</v>
      </c>
      <c r="AP24" s="58"/>
      <c r="AQ24" s="58"/>
      <c r="AR24" s="58"/>
      <c r="AS24" s="58"/>
      <c r="AT24" s="58"/>
    </row>
    <row r="25" spans="2:70" x14ac:dyDescent="0.2">
      <c r="B25" s="1" t="s">
        <v>83</v>
      </c>
      <c r="I25" s="25">
        <f t="shared" ref="I25:P25" si="46">I9/H9-1</f>
        <v>-0.23929308565531482</v>
      </c>
      <c r="J25" s="25">
        <f t="shared" si="46"/>
        <v>1.0250706573964163</v>
      </c>
      <c r="K25" s="25">
        <f t="shared" si="46"/>
        <v>-2.0414913668396983E-2</v>
      </c>
      <c r="L25" s="25">
        <f t="shared" si="46"/>
        <v>-0.10441270126217628</v>
      </c>
      <c r="M25" s="25">
        <f t="shared" si="46"/>
        <v>7.5039273939206064E-2</v>
      </c>
      <c r="N25" s="25">
        <f t="shared" si="46"/>
        <v>0.14353911925264162</v>
      </c>
      <c r="O25" s="25">
        <f t="shared" si="46"/>
        <v>-1.056399996894275E-2</v>
      </c>
      <c r="P25" s="25">
        <f t="shared" si="46"/>
        <v>-0.14926710284101874</v>
      </c>
      <c r="Q25" s="25">
        <f t="shared" ref="Q25:R25" si="47">Q9/P9-1</f>
        <v>3.6982347447432451E-2</v>
      </c>
      <c r="R25" s="72">
        <f t="shared" si="47"/>
        <v>6.4999999999999947E-2</v>
      </c>
      <c r="U25" s="16" t="s">
        <v>87</v>
      </c>
      <c r="V25" s="16" t="s">
        <v>87</v>
      </c>
      <c r="W25" s="16" t="s">
        <v>87</v>
      </c>
      <c r="X25" s="16" t="s">
        <v>87</v>
      </c>
      <c r="Y25" s="16" t="s">
        <v>87</v>
      </c>
      <c r="Z25" s="16" t="s">
        <v>87</v>
      </c>
      <c r="AA25" s="16" t="s">
        <v>87</v>
      </c>
      <c r="AB25" s="77" t="s">
        <v>87</v>
      </c>
      <c r="AC25" s="85" t="s">
        <v>87</v>
      </c>
      <c r="AD25" s="85" t="s">
        <v>87</v>
      </c>
      <c r="AE25" s="85" t="s">
        <v>87</v>
      </c>
      <c r="AF25" s="85" t="s">
        <v>87</v>
      </c>
      <c r="AG25" s="85" t="s">
        <v>87</v>
      </c>
      <c r="AH25" s="85" t="s">
        <v>87</v>
      </c>
      <c r="AI25" s="85" t="s">
        <v>87</v>
      </c>
      <c r="AJ25" s="85" t="s">
        <v>87</v>
      </c>
      <c r="AK25" s="85" t="s">
        <v>87</v>
      </c>
      <c r="AL25" s="85" t="s">
        <v>87</v>
      </c>
      <c r="AN25" s="89" t="s">
        <v>825</v>
      </c>
      <c r="AO25" s="90">
        <v>0.08</v>
      </c>
    </row>
    <row r="26" spans="2:70"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R26" si="48">Q6/M6-1</f>
        <v>-1.1914898101912375E-2</v>
      </c>
      <c r="R26" s="82">
        <f t="shared" si="48"/>
        <v>-1</v>
      </c>
      <c r="U26" s="16" t="s">
        <v>87</v>
      </c>
      <c r="V26" s="26">
        <f t="shared" ref="V26:W26" si="49">V6/U6-1</f>
        <v>0.21528372260070139</v>
      </c>
      <c r="W26" s="26">
        <f t="shared" si="49"/>
        <v>2.6132751166842549E-2</v>
      </c>
      <c r="X26" s="26">
        <f t="shared" ref="X26:Y26" si="50">X6/W6-1</f>
        <v>3.7151848149544753E-2</v>
      </c>
      <c r="Y26" s="26">
        <f t="shared" si="50"/>
        <v>5.0822112904029826E-3</v>
      </c>
      <c r="Z26" s="26">
        <f>Z6/Y6-1</f>
        <v>-0.14924284010866262</v>
      </c>
      <c r="AA26" s="26">
        <f>AA6/Z6-1</f>
        <v>0.31583556232993004</v>
      </c>
      <c r="AB26" s="81">
        <f t="shared" ref="AB26" si="51">AB6/AA6-1</f>
        <v>0.13452164346259443</v>
      </c>
      <c r="AC26" s="70">
        <f>AC6/AB6-1</f>
        <v>0.19999999999999996</v>
      </c>
      <c r="AD26" s="70">
        <f t="shared" ref="AD26:AL26" si="52">AD6/AC6-1</f>
        <v>0.19999999999999996</v>
      </c>
      <c r="AE26" s="70">
        <f t="shared" si="52"/>
        <v>0.19999999999999996</v>
      </c>
      <c r="AF26" s="70">
        <f t="shared" si="52"/>
        <v>0.19999999999999996</v>
      </c>
      <c r="AG26" s="70">
        <f t="shared" si="52"/>
        <v>0.19999999999999996</v>
      </c>
      <c r="AH26" s="70">
        <f t="shared" si="52"/>
        <v>0.19999999999999996</v>
      </c>
      <c r="AI26" s="70">
        <f t="shared" si="52"/>
        <v>0.19999999999999996</v>
      </c>
      <c r="AJ26" s="70">
        <f t="shared" si="52"/>
        <v>0.19999999999999996</v>
      </c>
      <c r="AK26" s="70">
        <f t="shared" si="52"/>
        <v>0.19999999999999996</v>
      </c>
      <c r="AL26" s="70">
        <f t="shared" si="52"/>
        <v>0.19999999999999996</v>
      </c>
      <c r="AM26" s="86"/>
      <c r="AN26" s="89" t="s">
        <v>822</v>
      </c>
      <c r="AO26" s="90">
        <v>0.01</v>
      </c>
      <c r="AP26" s="86"/>
      <c r="AQ26" s="86"/>
      <c r="AR26" s="86"/>
      <c r="AS26" s="86"/>
      <c r="AT26" s="86"/>
    </row>
    <row r="27" spans="2:70" s="51" customFormat="1" x14ac:dyDescent="0.2">
      <c r="B27" s="51" t="s">
        <v>771</v>
      </c>
      <c r="I27" s="25">
        <f t="shared" ref="I27:P27" si="53">I6/H6-1</f>
        <v>-0.23828539389738534</v>
      </c>
      <c r="J27" s="25">
        <f t="shared" si="53"/>
        <v>1.0549972940599743</v>
      </c>
      <c r="K27" s="25">
        <f t="shared" si="53"/>
        <v>-3.8935998856132414E-2</v>
      </c>
      <c r="L27" s="25">
        <f t="shared" si="53"/>
        <v>-6.1431667318194938E-2</v>
      </c>
      <c r="M27" s="25">
        <f t="shared" si="53"/>
        <v>7.4285635721933918E-2</v>
      </c>
      <c r="N27" s="25">
        <f t="shared" si="53"/>
        <v>0.13999233628213337</v>
      </c>
      <c r="O27" s="25">
        <f t="shared" si="53"/>
        <v>-1.726150932381687E-2</v>
      </c>
      <c r="P27" s="25">
        <f t="shared" si="53"/>
        <v>-0.14652505955360839</v>
      </c>
      <c r="Q27" s="25">
        <f t="shared" ref="Q27:R27" si="54">Q6/P6-1</f>
        <v>3.3388630685857734E-2</v>
      </c>
      <c r="R27" s="72">
        <f t="shared" si="54"/>
        <v>-1</v>
      </c>
      <c r="U27" s="16" t="s">
        <v>87</v>
      </c>
      <c r="V27" s="16" t="s">
        <v>87</v>
      </c>
      <c r="W27" s="16" t="s">
        <v>87</v>
      </c>
      <c r="X27" s="16" t="s">
        <v>87</v>
      </c>
      <c r="Y27" s="16" t="s">
        <v>87</v>
      </c>
      <c r="Z27" s="16" t="s">
        <v>87</v>
      </c>
      <c r="AA27" s="16" t="s">
        <v>87</v>
      </c>
      <c r="AB27" s="77" t="s">
        <v>87</v>
      </c>
      <c r="AC27" s="85" t="s">
        <v>87</v>
      </c>
      <c r="AD27" s="85" t="s">
        <v>87</v>
      </c>
      <c r="AE27" s="85" t="s">
        <v>87</v>
      </c>
      <c r="AF27" s="85" t="s">
        <v>87</v>
      </c>
      <c r="AG27" s="85" t="s">
        <v>87</v>
      </c>
      <c r="AH27" s="85" t="s">
        <v>87</v>
      </c>
      <c r="AI27" s="85" t="s">
        <v>87</v>
      </c>
      <c r="AJ27" s="85" t="s">
        <v>87</v>
      </c>
      <c r="AK27" s="85" t="s">
        <v>87</v>
      </c>
      <c r="AL27" s="85" t="s">
        <v>87</v>
      </c>
      <c r="AM27" s="54"/>
      <c r="AN27" s="89" t="s">
        <v>823</v>
      </c>
      <c r="AO27" s="92">
        <f>NPV(AO25,AB20:BR20)</f>
        <v>10684.690065769553</v>
      </c>
      <c r="AP27" s="54"/>
      <c r="AQ27" s="54"/>
      <c r="AR27" s="54"/>
      <c r="AS27" s="54"/>
      <c r="AT27" s="54"/>
    </row>
    <row r="28" spans="2:70" x14ac:dyDescent="0.2">
      <c r="AN28" s="89" t="s">
        <v>8</v>
      </c>
      <c r="AO28" s="100">
        <f>Main!C11</f>
        <v>376.57900000000006</v>
      </c>
    </row>
    <row r="29" spans="2:70" x14ac:dyDescent="0.2">
      <c r="AN29" s="89" t="s">
        <v>827</v>
      </c>
      <c r="AO29" s="93">
        <f>AO27+AO28</f>
        <v>11061.269065769553</v>
      </c>
    </row>
    <row r="30" spans="2:70" x14ac:dyDescent="0.2">
      <c r="B30" s="1" t="s">
        <v>84</v>
      </c>
      <c r="H30" s="25">
        <f t="shared" ref="H30:P30" si="55">H11/H9</f>
        <v>0.4633040935672515</v>
      </c>
      <c r="I30" s="25">
        <f t="shared" si="55"/>
        <v>0.49342744898535978</v>
      </c>
      <c r="J30" s="25">
        <f t="shared" si="55"/>
        <v>0.47893226965969093</v>
      </c>
      <c r="K30" s="25">
        <f t="shared" si="55"/>
        <v>0.49411511605210556</v>
      </c>
      <c r="L30" s="25">
        <f t="shared" si="55"/>
        <v>0.50003460083757889</v>
      </c>
      <c r="M30" s="25">
        <f t="shared" si="55"/>
        <v>0.49486065463391976</v>
      </c>
      <c r="N30" s="25">
        <f t="shared" si="55"/>
        <v>0.50992409086321089</v>
      </c>
      <c r="O30" s="25">
        <f t="shared" si="55"/>
        <v>0.50740940554078751</v>
      </c>
      <c r="P30" s="25">
        <f t="shared" si="55"/>
        <v>0.46517262451525621</v>
      </c>
      <c r="Q30" s="25">
        <f t="shared" ref="Q30:R30" si="56">Q11/Q9</f>
        <v>0.46713889776340067</v>
      </c>
      <c r="R30" s="72">
        <f t="shared" si="56"/>
        <v>0.4846507649730542</v>
      </c>
      <c r="U30" s="25">
        <f t="shared" ref="U30:V30" si="57">U11/U9</f>
        <v>0.48079649525535828</v>
      </c>
      <c r="V30" s="25">
        <f t="shared" si="57"/>
        <v>0.46465939796022765</v>
      </c>
      <c r="W30" s="25">
        <f t="shared" ref="W30:X30" si="58">W11/W9</f>
        <v>0.45125353660795098</v>
      </c>
      <c r="X30" s="25">
        <f t="shared" si="58"/>
        <v>0.45068122934191635</v>
      </c>
      <c r="Y30" s="25">
        <f>Y11/Y9</f>
        <v>0.4690471019142865</v>
      </c>
      <c r="Z30" s="25">
        <f>Z11/Z9</f>
        <v>0.48273871552899916</v>
      </c>
      <c r="AA30" s="25">
        <f>AA11/AA9</f>
        <v>0.50347780738021486</v>
      </c>
      <c r="AB30" s="72">
        <f t="shared" ref="AB30:AL30" si="59">AB11/AB9</f>
        <v>0.47837876457165424</v>
      </c>
      <c r="AC30" s="65">
        <f t="shared" si="59"/>
        <v>0.5</v>
      </c>
      <c r="AD30" s="65">
        <f t="shared" si="59"/>
        <v>0.5</v>
      </c>
      <c r="AE30" s="65">
        <f t="shared" si="59"/>
        <v>0.5</v>
      </c>
      <c r="AF30" s="65">
        <f t="shared" si="59"/>
        <v>0.51</v>
      </c>
      <c r="AG30" s="65">
        <f t="shared" si="59"/>
        <v>0.51</v>
      </c>
      <c r="AH30" s="65">
        <f t="shared" si="59"/>
        <v>0.51</v>
      </c>
      <c r="AI30" s="65">
        <f t="shared" si="59"/>
        <v>0.52500000000000002</v>
      </c>
      <c r="AJ30" s="65">
        <f t="shared" si="59"/>
        <v>0.52500000000000002</v>
      </c>
      <c r="AK30" s="65">
        <f t="shared" si="59"/>
        <v>0.52500000000000013</v>
      </c>
      <c r="AL30" s="65">
        <f t="shared" si="59"/>
        <v>0.52500000000000002</v>
      </c>
      <c r="AN30" s="94" t="s">
        <v>828</v>
      </c>
      <c r="AO30" s="95">
        <f>AO29/Main!C7</f>
        <v>24.130168119043528</v>
      </c>
    </row>
    <row r="31" spans="2:70" x14ac:dyDescent="0.2">
      <c r="B31" s="1" t="s">
        <v>85</v>
      </c>
      <c r="H31" s="25">
        <f t="shared" ref="H31:P31" si="60">H14/H9</f>
        <v>-0.60003869969040258</v>
      </c>
      <c r="I31" s="25">
        <f t="shared" si="60"/>
        <v>-0.23977446159063937</v>
      </c>
      <c r="J31" s="25">
        <f t="shared" si="60"/>
        <v>4.0871696925585857E-2</v>
      </c>
      <c r="K31" s="25">
        <f t="shared" si="60"/>
        <v>3.9782983773648924E-2</v>
      </c>
      <c r="L31" s="25">
        <f t="shared" si="60"/>
        <v>8.5022609857659262E-2</v>
      </c>
      <c r="M31" s="25">
        <f t="shared" si="60"/>
        <v>8.9679578908114843E-2</v>
      </c>
      <c r="N31" s="25">
        <f t="shared" si="60"/>
        <v>0.11132994981663266</v>
      </c>
      <c r="O31" s="25">
        <f t="shared" si="60"/>
        <v>5.6324037653551901E-2</v>
      </c>
      <c r="P31" s="25">
        <f t="shared" si="60"/>
        <v>-3.5325090607212478E-2</v>
      </c>
      <c r="Q31" s="25">
        <f t="shared" ref="Q31:R31" si="61">Q14/Q9</f>
        <v>2.5560817667452114E-2</v>
      </c>
      <c r="R31" s="72">
        <f t="shared" si="61"/>
        <v>5.5693505622833969E-2</v>
      </c>
      <c r="U31" s="25">
        <f t="shared" ref="U31:V31" si="62">U14/U9</f>
        <v>0.10308219411386373</v>
      </c>
      <c r="V31" s="25">
        <f t="shared" si="62"/>
        <v>8.7055883928249547E-2</v>
      </c>
      <c r="W31" s="25">
        <f t="shared" ref="W31:X31" si="63">W14/W9</f>
        <v>5.5806049974705223E-3</v>
      </c>
      <c r="X31" s="25">
        <f t="shared" si="63"/>
        <v>-4.8172749478403712E-3</v>
      </c>
      <c r="Y31" s="25">
        <f>Y14/Y9</f>
        <v>4.4952926943923041E-2</v>
      </c>
      <c r="Z31" s="25">
        <f>Z14/Z9</f>
        <v>-0.13709131875064667</v>
      </c>
      <c r="AA31" s="25">
        <f>AA14/AA9</f>
        <v>8.5562225585584642E-2</v>
      </c>
      <c r="AB31" s="72">
        <f t="shared" ref="AB31:AL31" si="64">AB14/AB9</f>
        <v>9.9878896057257346E-2</v>
      </c>
      <c r="AC31" s="25">
        <f t="shared" si="64"/>
        <v>0.10574058850637473</v>
      </c>
      <c r="AD31" s="25">
        <f t="shared" si="64"/>
        <v>8.929962011025043E-2</v>
      </c>
      <c r="AE31" s="25">
        <f t="shared" si="64"/>
        <v>7.2159519611590991E-2</v>
      </c>
      <c r="AF31" s="25">
        <f t="shared" si="64"/>
        <v>6.4301729126631152E-2</v>
      </c>
      <c r="AG31" s="25">
        <f t="shared" si="64"/>
        <v>4.5707244508423069E-2</v>
      </c>
      <c r="AH31" s="25">
        <f t="shared" si="64"/>
        <v>2.5915357455617575E-2</v>
      </c>
      <c r="AI31" s="25">
        <f t="shared" si="64"/>
        <v>4.0451766354821443E-2</v>
      </c>
      <c r="AJ31" s="25">
        <f t="shared" si="64"/>
        <v>4.0064621617268495E-2</v>
      </c>
      <c r="AK31" s="25">
        <f t="shared" si="64"/>
        <v>3.9742390774224687E-2</v>
      </c>
      <c r="AL31" s="25">
        <f t="shared" si="64"/>
        <v>3.9475178638201436E-2</v>
      </c>
      <c r="AN31" s="96" t="s">
        <v>829</v>
      </c>
      <c r="AO31" s="97">
        <f>Main!C6</f>
        <v>6.48</v>
      </c>
    </row>
    <row r="32" spans="2:70" x14ac:dyDescent="0.2">
      <c r="B32" s="1" t="s">
        <v>86</v>
      </c>
      <c r="H32" s="25">
        <f t="shared" ref="H32:P32" si="65">H20/H9</f>
        <v>-0.63390200378396988</v>
      </c>
      <c r="I32" s="25">
        <f t="shared" si="65"/>
        <v>-0.258457690351026</v>
      </c>
      <c r="J32" s="25">
        <f t="shared" si="65"/>
        <v>2.7177550084751007E-2</v>
      </c>
      <c r="K32" s="25">
        <f t="shared" si="65"/>
        <v>0.13139939277628895</v>
      </c>
      <c r="L32" s="25">
        <f t="shared" si="65"/>
        <v>6.1845616630673783E-2</v>
      </c>
      <c r="M32" s="25">
        <f t="shared" si="65"/>
        <v>0.12046237830494838</v>
      </c>
      <c r="N32" s="25">
        <f t="shared" si="65"/>
        <v>7.3401262477903989E-2</v>
      </c>
      <c r="O32" s="25">
        <f t="shared" si="65"/>
        <v>7.1708502130191726E-2</v>
      </c>
      <c r="P32" s="25">
        <f t="shared" si="65"/>
        <v>-4.5820538147269906E-2</v>
      </c>
      <c r="Q32" s="25">
        <f t="shared" ref="Q32:R32" si="66">Q20/Q9</f>
        <v>5.6943479778837729E-3</v>
      </c>
      <c r="R32" s="72">
        <f t="shared" si="66"/>
        <v>2.8919900616650899E-2</v>
      </c>
      <c r="U32" s="25">
        <f t="shared" ref="U32:V32" si="67">U20/U9</f>
        <v>5.8681461696313067E-2</v>
      </c>
      <c r="V32" s="25">
        <f t="shared" si="67"/>
        <v>5.3572915376499462E-2</v>
      </c>
      <c r="W32" s="25">
        <f t="shared" ref="W32:X32" si="68">W20/W9</f>
        <v>-9.6728081448813046E-3</v>
      </c>
      <c r="X32" s="25">
        <f t="shared" si="68"/>
        <v>-8.9159157626775096E-3</v>
      </c>
      <c r="Y32" s="25">
        <f>Y20/Y9</f>
        <v>1.7493770803541517E-2</v>
      </c>
      <c r="Z32" s="25">
        <f>Z20/Z9</f>
        <v>-0.12273025009458804</v>
      </c>
      <c r="AA32" s="25">
        <f>AA20/AA9</f>
        <v>6.3352186852177944E-2</v>
      </c>
      <c r="AB32" s="72">
        <f t="shared" ref="AB32:AL32" si="69">AB20/AB9</f>
        <v>8.6874636591012341E-2</v>
      </c>
      <c r="AC32" s="25">
        <f t="shared" si="69"/>
        <v>8.5767901073273672E-2</v>
      </c>
      <c r="AD32" s="25">
        <f t="shared" si="69"/>
        <v>7.2080359817990047E-2</v>
      </c>
      <c r="AE32" s="25">
        <f t="shared" si="69"/>
        <v>5.8105540987714269E-2</v>
      </c>
      <c r="AF32" s="25">
        <f t="shared" si="69"/>
        <v>5.192896990620418E-2</v>
      </c>
      <c r="AG32" s="25">
        <f t="shared" si="69"/>
        <v>3.654851853274825E-2</v>
      </c>
      <c r="AH32" s="25">
        <f t="shared" si="69"/>
        <v>2.0048966936886289E-2</v>
      </c>
      <c r="AI32" s="25">
        <f t="shared" si="69"/>
        <v>3.2683210797327743E-2</v>
      </c>
      <c r="AJ32" s="25">
        <f t="shared" si="69"/>
        <v>3.2593435162698581E-2</v>
      </c>
      <c r="AK32" s="25">
        <f t="shared" si="69"/>
        <v>3.2525251472992428E-2</v>
      </c>
      <c r="AL32" s="25">
        <f t="shared" si="69"/>
        <v>3.247492706915444E-2</v>
      </c>
      <c r="AN32" s="98" t="s">
        <v>830</v>
      </c>
      <c r="AO32" s="99">
        <f>AO30/AO31-1</f>
        <v>2.7237913763956061</v>
      </c>
    </row>
    <row r="33" spans="2:41" x14ac:dyDescent="0.2">
      <c r="B33" s="1" t="s">
        <v>74</v>
      </c>
      <c r="H33" s="25">
        <f t="shared" ref="H33:P33" si="70">H18/H17</f>
        <v>-3.8298560626797436E-2</v>
      </c>
      <c r="I33" s="25">
        <f t="shared" si="70"/>
        <v>1.687893119831264E-2</v>
      </c>
      <c r="J33" s="25">
        <f t="shared" si="70"/>
        <v>-0.10194614476681955</v>
      </c>
      <c r="K33" s="25">
        <f t="shared" si="70"/>
        <v>0.15805252319075647</v>
      </c>
      <c r="L33" s="25">
        <f t="shared" si="70"/>
        <v>0.11546866418145921</v>
      </c>
      <c r="M33" s="25">
        <f t="shared" si="70"/>
        <v>5.7957527484595879E-2</v>
      </c>
      <c r="N33" s="25">
        <f t="shared" si="70"/>
        <v>0.14222175553338792</v>
      </c>
      <c r="O33" s="25">
        <f t="shared" si="70"/>
        <v>-6.6274750665379883E-2</v>
      </c>
      <c r="P33" s="25">
        <f t="shared" si="70"/>
        <v>-0.15684131822626085</v>
      </c>
      <c r="Q33" s="25">
        <f t="shared" ref="Q33:R33" si="71">Q18/Q17</f>
        <v>0.39734494626677114</v>
      </c>
      <c r="R33" s="72">
        <f t="shared" si="71"/>
        <v>0.4</v>
      </c>
      <c r="U33" s="25">
        <f t="shared" ref="U33:V33" si="72">U18/U17</f>
        <v>0.39854662063436685</v>
      </c>
      <c r="V33" s="25">
        <f t="shared" si="72"/>
        <v>0.33869041988275145</v>
      </c>
      <c r="W33" s="25">
        <f t="shared" ref="W33:X33" si="73">W18/W17</f>
        <v>-3.6813463963526378</v>
      </c>
      <c r="X33" s="25">
        <f t="shared" si="73"/>
        <v>0.30318050392399659</v>
      </c>
      <c r="Y33" s="25">
        <f>Y18/Y17</f>
        <v>0.33369391693869405</v>
      </c>
      <c r="Z33" s="25">
        <f>Z18/Z17</f>
        <v>-0.10026921452702703</v>
      </c>
      <c r="AA33" s="25">
        <f>AA18/AA17</f>
        <v>8.2051387009212537E-2</v>
      </c>
      <c r="AB33" s="72">
        <f t="shared" ref="AB33" si="74">AB18/AB17</f>
        <v>0.08</v>
      </c>
      <c r="AC33" s="65">
        <f>AC18/AC17</f>
        <v>0.15</v>
      </c>
      <c r="AD33" s="65">
        <f t="shared" ref="AD33:AL33" si="75">AD18/AD17</f>
        <v>0.15</v>
      </c>
      <c r="AE33" s="65">
        <f t="shared" si="75"/>
        <v>0.15</v>
      </c>
      <c r="AF33" s="65">
        <f t="shared" si="75"/>
        <v>0.15</v>
      </c>
      <c r="AG33" s="65">
        <f t="shared" si="75"/>
        <v>0.15</v>
      </c>
      <c r="AH33" s="65">
        <f t="shared" si="75"/>
        <v>0.15</v>
      </c>
      <c r="AI33" s="65">
        <f t="shared" si="75"/>
        <v>0.15</v>
      </c>
      <c r="AJ33" s="65">
        <f t="shared" si="75"/>
        <v>0.15</v>
      </c>
      <c r="AK33" s="65">
        <f t="shared" si="75"/>
        <v>0.15</v>
      </c>
      <c r="AL33" s="65">
        <f t="shared" si="75"/>
        <v>0.15</v>
      </c>
      <c r="AO33" s="91"/>
    </row>
    <row r="36" spans="2:41" x14ac:dyDescent="0.2">
      <c r="B36" s="27" t="s">
        <v>782</v>
      </c>
    </row>
    <row r="37" spans="2:41" s="32" customFormat="1" x14ac:dyDescent="0.2">
      <c r="B37" s="68" t="s">
        <v>794</v>
      </c>
      <c r="J37" s="32">
        <v>172</v>
      </c>
      <c r="K37" s="32">
        <v>176</v>
      </c>
      <c r="M37" s="32">
        <v>178</v>
      </c>
      <c r="N37" s="32">
        <v>179</v>
      </c>
      <c r="O37" s="32">
        <v>180</v>
      </c>
      <c r="Q37" s="32">
        <v>179</v>
      </c>
      <c r="R37" s="75"/>
      <c r="AB37" s="75"/>
      <c r="AK37" s="101"/>
    </row>
    <row r="38" spans="2:41" s="32" customFormat="1" x14ac:dyDescent="0.2">
      <c r="B38" s="68" t="s">
        <v>795</v>
      </c>
      <c r="J38" s="32">
        <v>18</v>
      </c>
      <c r="K38" s="32">
        <v>18</v>
      </c>
      <c r="M38" s="32">
        <v>17</v>
      </c>
      <c r="N38" s="32">
        <v>18</v>
      </c>
      <c r="O38" s="32">
        <v>19</v>
      </c>
      <c r="Q38" s="32">
        <v>18</v>
      </c>
      <c r="R38" s="75"/>
      <c r="AB38" s="75"/>
      <c r="AK38" s="56"/>
    </row>
    <row r="39" spans="2:41" s="32" customFormat="1" x14ac:dyDescent="0.2">
      <c r="B39" s="67" t="s">
        <v>796</v>
      </c>
      <c r="J39" s="32">
        <f>J37+J38</f>
        <v>190</v>
      </c>
      <c r="K39" s="32">
        <f>K37+K38</f>
        <v>194</v>
      </c>
      <c r="M39" s="32">
        <f>M37+M38</f>
        <v>195</v>
      </c>
      <c r="N39" s="32">
        <f>N37+N38</f>
        <v>197</v>
      </c>
      <c r="O39" s="32">
        <f>O37+O38</f>
        <v>199</v>
      </c>
      <c r="Q39" s="32">
        <f>Q37+Q38</f>
        <v>197</v>
      </c>
      <c r="R39" s="75"/>
      <c r="AB39" s="75"/>
    </row>
    <row r="40" spans="2:41" s="32" customFormat="1" x14ac:dyDescent="0.2">
      <c r="B40" s="68" t="s">
        <v>797</v>
      </c>
      <c r="J40" s="32">
        <v>122</v>
      </c>
      <c r="K40" s="32">
        <v>134</v>
      </c>
      <c r="M40" s="32">
        <v>137</v>
      </c>
      <c r="N40" s="32">
        <v>144</v>
      </c>
      <c r="O40" s="32">
        <v>144</v>
      </c>
      <c r="Q40" s="32">
        <v>156</v>
      </c>
      <c r="R40" s="75"/>
      <c r="AB40" s="75"/>
    </row>
    <row r="41" spans="2:41" s="32" customFormat="1" x14ac:dyDescent="0.2">
      <c r="B41" s="68" t="s">
        <v>798</v>
      </c>
      <c r="J41" s="32">
        <v>116</v>
      </c>
      <c r="K41" s="32">
        <v>111</v>
      </c>
      <c r="M41" s="32">
        <v>95</v>
      </c>
      <c r="N41" s="32">
        <v>95</v>
      </c>
      <c r="O41" s="32">
        <v>79</v>
      </c>
      <c r="Q41" s="32">
        <v>87</v>
      </c>
      <c r="R41" s="75"/>
      <c r="AB41" s="75"/>
    </row>
    <row r="42" spans="2:41" s="32" customFormat="1" x14ac:dyDescent="0.2">
      <c r="B42" s="67" t="s">
        <v>799</v>
      </c>
      <c r="J42" s="32">
        <f>J40+J41</f>
        <v>238</v>
      </c>
      <c r="K42" s="32">
        <f>K40+K41</f>
        <v>245</v>
      </c>
      <c r="M42" s="32">
        <f>M40+M41</f>
        <v>232</v>
      </c>
      <c r="N42" s="32">
        <f>N40+N41</f>
        <v>239</v>
      </c>
      <c r="O42" s="32">
        <f>O40+O41</f>
        <v>223</v>
      </c>
      <c r="Q42" s="32">
        <f>Q40+Q41</f>
        <v>243</v>
      </c>
      <c r="R42" s="75"/>
      <c r="AB42" s="75"/>
    </row>
    <row r="43" spans="2:41" x14ac:dyDescent="0.2">
      <c r="B43" s="51" t="s">
        <v>802</v>
      </c>
      <c r="J43" s="1">
        <v>294</v>
      </c>
      <c r="K43" s="32">
        <f>K37+K40</f>
        <v>310</v>
      </c>
      <c r="M43" s="32">
        <f>M37+M40</f>
        <v>315</v>
      </c>
      <c r="N43" s="1">
        <v>323</v>
      </c>
      <c r="O43" s="32">
        <f>O37+O40</f>
        <v>324</v>
      </c>
      <c r="Q43" s="32">
        <f>Q37+Q40</f>
        <v>335</v>
      </c>
    </row>
    <row r="44" spans="2:41" x14ac:dyDescent="0.2">
      <c r="B44" s="51" t="s">
        <v>801</v>
      </c>
      <c r="J44" s="1">
        <v>134</v>
      </c>
      <c r="K44" s="1">
        <f>K38+K41</f>
        <v>129</v>
      </c>
      <c r="M44" s="1">
        <f>M38+M41</f>
        <v>112</v>
      </c>
      <c r="N44" s="1">
        <v>113</v>
      </c>
      <c r="O44" s="1">
        <f>O38+O41</f>
        <v>98</v>
      </c>
      <c r="Q44" s="1">
        <f>Q38+Q41</f>
        <v>105</v>
      </c>
    </row>
    <row r="45" spans="2:41" s="58" customFormat="1" x14ac:dyDescent="0.2">
      <c r="B45" s="2" t="s">
        <v>800</v>
      </c>
      <c r="J45" s="58">
        <f>J43+J44</f>
        <v>428</v>
      </c>
      <c r="K45" s="58">
        <f>K43+K44</f>
        <v>439</v>
      </c>
      <c r="M45" s="58">
        <f>M43+M44</f>
        <v>427</v>
      </c>
      <c r="N45" s="58">
        <f>N43+N44</f>
        <v>436</v>
      </c>
      <c r="O45" s="58">
        <f>O43+O44</f>
        <v>422</v>
      </c>
      <c r="Q45" s="58">
        <f>Q43+Q44</f>
        <v>440</v>
      </c>
      <c r="R45" s="76"/>
      <c r="Y45" s="2">
        <v>338</v>
      </c>
      <c r="Z45" s="2">
        <v>439</v>
      </c>
      <c r="AA45" s="2">
        <v>422</v>
      </c>
      <c r="AB45" s="76"/>
    </row>
    <row r="47" spans="2:41" x14ac:dyDescent="0.2">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Y47" s="53">
        <f t="shared" ref="Y47:AA47" si="76">Y6/Y45</f>
        <v>14.713579881656804</v>
      </c>
      <c r="Z47" s="53">
        <f t="shared" si="76"/>
        <v>9.6377608200455569</v>
      </c>
      <c r="AA47" s="53">
        <f t="shared" si="76"/>
        <v>13.192582938388627</v>
      </c>
    </row>
    <row r="49" spans="2:46" x14ac:dyDescent="0.2">
      <c r="B49" s="27" t="s">
        <v>88</v>
      </c>
    </row>
    <row r="50" spans="2:46" s="2" customFormat="1" x14ac:dyDescent="0.2">
      <c r="B50" s="2" t="s">
        <v>6</v>
      </c>
      <c r="J50" s="21">
        <v>865.60900000000004</v>
      </c>
      <c r="K50" s="21">
        <v>1517.3610000000001</v>
      </c>
      <c r="N50" s="21">
        <v>1253.7059999999999</v>
      </c>
      <c r="O50" s="21">
        <v>1669.453</v>
      </c>
      <c r="P50" s="21">
        <v>1009.139</v>
      </c>
      <c r="Q50" s="21">
        <v>1049.413</v>
      </c>
      <c r="R50" s="76"/>
      <c r="Z50" s="21">
        <f>K50</f>
        <v>1517.3610000000001</v>
      </c>
      <c r="AA50" s="21">
        <v>1669.453</v>
      </c>
      <c r="AB50" s="76"/>
      <c r="AC50" s="58"/>
      <c r="AD50" s="58"/>
      <c r="AE50" s="58"/>
      <c r="AF50" s="58"/>
      <c r="AG50" s="58"/>
      <c r="AH50" s="58"/>
      <c r="AI50" s="58"/>
      <c r="AJ50" s="58"/>
      <c r="AK50" s="58"/>
      <c r="AL50" s="58"/>
      <c r="AM50" s="58"/>
      <c r="AN50" s="58"/>
      <c r="AO50" s="58"/>
      <c r="AP50" s="58"/>
      <c r="AQ50" s="58"/>
      <c r="AR50" s="58"/>
      <c r="AS50" s="58"/>
      <c r="AT50" s="58"/>
    </row>
    <row r="51" spans="2:46" x14ac:dyDescent="0.2">
      <c r="B51" s="1" t="s">
        <v>89</v>
      </c>
      <c r="J51" s="22">
        <v>806.91600000000005</v>
      </c>
      <c r="K51" s="22">
        <v>527.34</v>
      </c>
      <c r="N51" s="22">
        <v>735.779</v>
      </c>
      <c r="O51" s="22">
        <v>569.01400000000001</v>
      </c>
      <c r="P51" s="22">
        <v>702.197</v>
      </c>
      <c r="Q51" s="22">
        <v>693.63599999999997</v>
      </c>
      <c r="Z51" s="22">
        <f>K51</f>
        <v>527.34</v>
      </c>
      <c r="AA51" s="22">
        <v>569.01400000000001</v>
      </c>
    </row>
    <row r="52" spans="2:46" s="2" customFormat="1" x14ac:dyDescent="0.2">
      <c r="B52" s="2" t="s">
        <v>90</v>
      </c>
      <c r="J52" s="21">
        <v>1056.845</v>
      </c>
      <c r="K52" s="21">
        <v>895.97400000000005</v>
      </c>
      <c r="N52" s="21">
        <v>837.74</v>
      </c>
      <c r="O52" s="21">
        <v>811.41</v>
      </c>
      <c r="P52" s="21">
        <v>824.45500000000004</v>
      </c>
      <c r="Q52" s="21">
        <v>954.39400000000001</v>
      </c>
      <c r="R52" s="76"/>
      <c r="Z52" s="21">
        <f>K52</f>
        <v>895.97400000000005</v>
      </c>
      <c r="AA52" s="21">
        <v>811.41</v>
      </c>
      <c r="AB52" s="76"/>
      <c r="AC52" s="58"/>
      <c r="AD52" s="58"/>
      <c r="AE52" s="58"/>
      <c r="AF52" s="58"/>
      <c r="AG52" s="58"/>
      <c r="AH52" s="58"/>
      <c r="AI52" s="58"/>
      <c r="AJ52" s="58"/>
      <c r="AK52" s="58"/>
      <c r="AL52" s="58"/>
      <c r="AM52" s="58"/>
      <c r="AN52" s="58"/>
      <c r="AO52" s="58"/>
      <c r="AP52" s="58"/>
      <c r="AQ52" s="58"/>
      <c r="AR52" s="58"/>
      <c r="AS52" s="58"/>
      <c r="AT52" s="58"/>
    </row>
    <row r="53" spans="2:46" x14ac:dyDescent="0.2">
      <c r="B53" s="1" t="s">
        <v>91</v>
      </c>
      <c r="J53" s="22">
        <v>243.971</v>
      </c>
      <c r="K53" s="22">
        <v>282.3</v>
      </c>
      <c r="N53" s="22">
        <v>300.71899999999999</v>
      </c>
      <c r="O53" s="22">
        <v>286.42200000000003</v>
      </c>
      <c r="P53" s="22">
        <v>297.03399999999999</v>
      </c>
      <c r="Q53" s="22">
        <v>302.66399999999999</v>
      </c>
      <c r="Z53" s="22">
        <f>K53</f>
        <v>282.3</v>
      </c>
      <c r="AA53" s="22">
        <v>286.42200000000003</v>
      </c>
    </row>
    <row r="54" spans="2:46" x14ac:dyDescent="0.2">
      <c r="B54" s="1" t="s">
        <v>92</v>
      </c>
      <c r="H54" s="22">
        <f t="shared" ref="H54:N54" si="77">SUM(H50:H53)</f>
        <v>0</v>
      </c>
      <c r="I54" s="22">
        <f t="shared" si="77"/>
        <v>0</v>
      </c>
      <c r="J54" s="22">
        <f>SUM(J50:J53)</f>
        <v>2973.3409999999999</v>
      </c>
      <c r="K54" s="22">
        <f t="shared" si="77"/>
        <v>3222.9750000000004</v>
      </c>
      <c r="L54" s="22">
        <f t="shared" si="77"/>
        <v>0</v>
      </c>
      <c r="M54" s="22">
        <f t="shared" si="77"/>
        <v>0</v>
      </c>
      <c r="N54" s="22">
        <f t="shared" si="77"/>
        <v>3127.944</v>
      </c>
      <c r="O54" s="22">
        <f>SUM(O50:O53)</f>
        <v>3336.299</v>
      </c>
      <c r="P54" s="22">
        <f>SUM(P50:P53)</f>
        <v>2832.8250000000003</v>
      </c>
      <c r="Q54" s="22">
        <f>SUM(Q50:Q53)</f>
        <v>3000.107</v>
      </c>
      <c r="Z54" s="22">
        <f>SUM(Z50:Z53)</f>
        <v>3222.9750000000004</v>
      </c>
      <c r="AA54" s="22">
        <f>SUM(AA50:AA53)</f>
        <v>3336.299</v>
      </c>
    </row>
    <row r="55" spans="2:46" x14ac:dyDescent="0.2">
      <c r="B55" s="1" t="s">
        <v>93</v>
      </c>
      <c r="J55" s="22">
        <v>680.87099999999998</v>
      </c>
      <c r="K55" s="22">
        <v>658.678</v>
      </c>
      <c r="N55" s="22">
        <v>601.70000000000005</v>
      </c>
      <c r="O55" s="22">
        <v>607.226</v>
      </c>
      <c r="P55" s="22">
        <v>601.36500000000001</v>
      </c>
      <c r="Q55" s="22">
        <v>609.923</v>
      </c>
      <c r="Z55" s="22">
        <f t="shared" ref="Z55:Z59" si="78">K55</f>
        <v>658.678</v>
      </c>
      <c r="AA55" s="22">
        <v>607.226</v>
      </c>
    </row>
    <row r="56" spans="2:46" x14ac:dyDescent="0.2">
      <c r="B56" s="1" t="s">
        <v>94</v>
      </c>
      <c r="J56" s="22">
        <v>560.14599999999996</v>
      </c>
      <c r="K56" s="22">
        <v>536.66</v>
      </c>
      <c r="N56" s="22">
        <v>469.63799999999998</v>
      </c>
      <c r="O56" s="22">
        <v>448.36399999999998</v>
      </c>
      <c r="P56" s="22">
        <v>420.39699999999999</v>
      </c>
      <c r="Q56" s="22">
        <v>408.75299999999999</v>
      </c>
      <c r="Z56" s="22">
        <f t="shared" si="78"/>
        <v>536.66</v>
      </c>
      <c r="AA56" s="22">
        <v>448.36399999999998</v>
      </c>
    </row>
    <row r="57" spans="2:46" x14ac:dyDescent="0.2">
      <c r="B57" s="1" t="s">
        <v>95</v>
      </c>
      <c r="J57" s="22">
        <f>493.631+37.274</f>
        <v>530.90499999999997</v>
      </c>
      <c r="K57" s="22">
        <f>502.214+13.295</f>
        <v>515.50900000000001</v>
      </c>
      <c r="N57" s="22">
        <f>498.166+11.474</f>
        <v>509.64</v>
      </c>
      <c r="O57" s="22">
        <f>495.215+11.01</f>
        <v>506.22499999999997</v>
      </c>
      <c r="P57" s="22">
        <f>491.508+10.58</f>
        <v>502.08799999999997</v>
      </c>
      <c r="Q57" s="22">
        <f>479.521+9.91</f>
        <v>489.43100000000004</v>
      </c>
      <c r="Z57" s="22">
        <f t="shared" si="78"/>
        <v>515.50900000000001</v>
      </c>
      <c r="AA57" s="22">
        <f>495.215+11.01</f>
        <v>506.22499999999997</v>
      </c>
    </row>
    <row r="58" spans="2:46" x14ac:dyDescent="0.2">
      <c r="B58" s="1" t="s">
        <v>96</v>
      </c>
      <c r="J58" s="22">
        <v>45.994999999999997</v>
      </c>
      <c r="K58" s="22">
        <v>23.93</v>
      </c>
      <c r="N58" s="22">
        <v>34.542999999999999</v>
      </c>
      <c r="O58" s="22">
        <v>17.812000000000001</v>
      </c>
      <c r="P58" s="22">
        <v>20.140999999999998</v>
      </c>
      <c r="Q58" s="22">
        <v>19.443999999999999</v>
      </c>
      <c r="Z58" s="22">
        <f t="shared" si="78"/>
        <v>23.93</v>
      </c>
      <c r="AA58" s="22">
        <v>17.812000000000001</v>
      </c>
    </row>
    <row r="59" spans="2:46" x14ac:dyDescent="0.2">
      <c r="B59" s="1" t="s">
        <v>97</v>
      </c>
      <c r="J59" s="22">
        <v>72.293000000000006</v>
      </c>
      <c r="K59" s="22">
        <v>72.876000000000005</v>
      </c>
      <c r="N59" s="22">
        <v>78.835999999999999</v>
      </c>
      <c r="O59" s="22">
        <v>75.47</v>
      </c>
      <c r="P59" s="22">
        <v>76.016000000000005</v>
      </c>
      <c r="Q59" s="22">
        <v>78.162000000000006</v>
      </c>
      <c r="Z59" s="22">
        <f t="shared" si="78"/>
        <v>72.876000000000005</v>
      </c>
      <c r="AA59" s="22">
        <v>75.47</v>
      </c>
    </row>
    <row r="60" spans="2:46" x14ac:dyDescent="0.2">
      <c r="B60" s="1" t="s">
        <v>98</v>
      </c>
      <c r="H60" s="22">
        <f t="shared" ref="H60:N60" si="79">H54+H55+H56+H57+H58+H59</f>
        <v>0</v>
      </c>
      <c r="I60" s="22">
        <f t="shared" si="79"/>
        <v>0</v>
      </c>
      <c r="J60" s="22">
        <f t="shared" si="79"/>
        <v>4863.5509999999995</v>
      </c>
      <c r="K60" s="22">
        <f t="shared" si="79"/>
        <v>5030.6280000000006</v>
      </c>
      <c r="L60" s="22">
        <f t="shared" si="79"/>
        <v>0</v>
      </c>
      <c r="M60" s="22">
        <f t="shared" si="79"/>
        <v>0</v>
      </c>
      <c r="N60" s="22">
        <f t="shared" si="79"/>
        <v>4822.3010000000004</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46" x14ac:dyDescent="0.2">
      <c r="K61" s="22"/>
      <c r="O61" s="22"/>
      <c r="P61" s="22"/>
      <c r="AA61" s="22"/>
    </row>
    <row r="62" spans="2:46" x14ac:dyDescent="0.2">
      <c r="B62" s="1" t="s">
        <v>99</v>
      </c>
      <c r="J62" s="22">
        <v>643.31500000000005</v>
      </c>
      <c r="K62" s="22">
        <v>575.95399999999995</v>
      </c>
      <c r="N62" s="22">
        <v>532.91899999999998</v>
      </c>
      <c r="O62" s="22">
        <v>613.30700000000002</v>
      </c>
      <c r="P62" s="22">
        <v>560.33100000000002</v>
      </c>
      <c r="Q62" s="22">
        <v>669.20299999999997</v>
      </c>
      <c r="Z62" s="22">
        <f t="shared" ref="Z62:Z70" si="80">K62</f>
        <v>575.95399999999995</v>
      </c>
      <c r="AA62" s="22">
        <v>613.30700000000002</v>
      </c>
    </row>
    <row r="63" spans="2:46" x14ac:dyDescent="0.2">
      <c r="B63" s="1" t="s">
        <v>100</v>
      </c>
      <c r="J63" s="22">
        <v>309.096</v>
      </c>
      <c r="K63" s="22">
        <v>378.85899999999998</v>
      </c>
      <c r="N63" s="22">
        <v>388.27499999999998</v>
      </c>
      <c r="O63" s="22">
        <v>460.16500000000002</v>
      </c>
      <c r="P63" s="22">
        <v>317.96300000000002</v>
      </c>
      <c r="Q63" s="22">
        <v>373.04500000000002</v>
      </c>
      <c r="Z63" s="22">
        <f t="shared" si="80"/>
        <v>378.85899999999998</v>
      </c>
      <c r="AA63" s="22">
        <v>460.16500000000002</v>
      </c>
    </row>
    <row r="64" spans="2:46" x14ac:dyDescent="0.2">
      <c r="B64" s="1" t="s">
        <v>101</v>
      </c>
      <c r="J64" s="22">
        <v>197.49600000000001</v>
      </c>
      <c r="K64" s="22">
        <v>203.399</v>
      </c>
      <c r="N64" s="22">
        <v>174.274</v>
      </c>
      <c r="O64" s="22">
        <v>164.29400000000001</v>
      </c>
      <c r="P64" s="22">
        <v>159.62799999999999</v>
      </c>
      <c r="Q64" s="22">
        <v>157.48699999999999</v>
      </c>
      <c r="Z64" s="22">
        <f t="shared" si="80"/>
        <v>203.399</v>
      </c>
      <c r="AA64" s="22">
        <v>164.29400000000001</v>
      </c>
    </row>
    <row r="65" spans="2:46" x14ac:dyDescent="0.2">
      <c r="B65" s="1" t="s">
        <v>102</v>
      </c>
      <c r="J65" s="22">
        <v>156.88499999999999</v>
      </c>
      <c r="K65" s="22">
        <v>162.56100000000001</v>
      </c>
      <c r="N65" s="22">
        <v>142.566</v>
      </c>
      <c r="O65" s="22">
        <v>138.684</v>
      </c>
      <c r="P65" s="22">
        <v>134.833</v>
      </c>
      <c r="Q65" s="22">
        <v>131.43799999999999</v>
      </c>
      <c r="Z65" s="22">
        <f t="shared" si="80"/>
        <v>162.56100000000001</v>
      </c>
      <c r="AA65" s="22">
        <v>138.66399999999999</v>
      </c>
    </row>
    <row r="66" spans="2:46" x14ac:dyDescent="0.2">
      <c r="B66" s="1" t="s">
        <v>103</v>
      </c>
      <c r="J66" s="22">
        <v>141.607</v>
      </c>
      <c r="K66" s="22">
        <v>92.503</v>
      </c>
      <c r="N66" s="22">
        <v>116.504</v>
      </c>
      <c r="O66" s="22">
        <v>73.745999999999995</v>
      </c>
      <c r="P66" s="22">
        <v>125.84</v>
      </c>
      <c r="Q66" s="22">
        <v>127.50700000000001</v>
      </c>
      <c r="Z66" s="22">
        <f t="shared" si="80"/>
        <v>92.503</v>
      </c>
      <c r="AA66" s="22">
        <v>73.745999999999995</v>
      </c>
    </row>
    <row r="67" spans="2:46" x14ac:dyDescent="0.2">
      <c r="B67" s="1" t="s">
        <v>104</v>
      </c>
      <c r="H67" s="22">
        <f t="shared" ref="H67:N67" si="81">SUM(H62:H66)</f>
        <v>0</v>
      </c>
      <c r="I67" s="22">
        <f t="shared" si="81"/>
        <v>0</v>
      </c>
      <c r="J67" s="22">
        <f t="shared" si="81"/>
        <v>1448.3990000000001</v>
      </c>
      <c r="K67" s="22">
        <f t="shared" si="81"/>
        <v>1413.2759999999998</v>
      </c>
      <c r="L67" s="22">
        <f t="shared" si="81"/>
        <v>0</v>
      </c>
      <c r="M67" s="22">
        <f t="shared" si="81"/>
        <v>0</v>
      </c>
      <c r="N67" s="22">
        <f t="shared" si="81"/>
        <v>1354.5379999999998</v>
      </c>
      <c r="O67" s="22">
        <f>SUM(O62:O66)</f>
        <v>1450.1960000000001</v>
      </c>
      <c r="P67" s="22">
        <f>SUM(P62:P66)</f>
        <v>1298.595</v>
      </c>
      <c r="Q67" s="22">
        <f>SUM(Q62:Q66)</f>
        <v>1458.6800000000003</v>
      </c>
      <c r="Z67" s="22">
        <f>SUM(Z62:Z66)</f>
        <v>1413.2759999999998</v>
      </c>
      <c r="AA67" s="22">
        <f>SUM(AA62:AA66)</f>
        <v>1450.1760000000002</v>
      </c>
    </row>
    <row r="68" spans="2:46" s="2" customFormat="1" x14ac:dyDescent="0.2">
      <c r="B68" s="2" t="s">
        <v>105</v>
      </c>
      <c r="J68" s="21">
        <v>997.34699999999998</v>
      </c>
      <c r="K68" s="21">
        <v>1003.556</v>
      </c>
      <c r="N68" s="21">
        <v>662.90300000000002</v>
      </c>
      <c r="O68" s="21">
        <v>662.53099999999995</v>
      </c>
      <c r="P68" s="21">
        <v>672.28599999999994</v>
      </c>
      <c r="Q68" s="21">
        <v>672.83399999999995</v>
      </c>
      <c r="R68" s="76"/>
      <c r="Z68" s="21">
        <f t="shared" si="80"/>
        <v>1003.556</v>
      </c>
      <c r="AA68" s="21">
        <v>662.53099999999995</v>
      </c>
      <c r="AB68" s="76"/>
      <c r="AC68" s="58"/>
      <c r="AD68" s="58"/>
      <c r="AE68" s="58"/>
      <c r="AF68" s="58"/>
      <c r="AG68" s="58"/>
      <c r="AH68" s="58"/>
      <c r="AI68" s="58"/>
      <c r="AJ68" s="58"/>
      <c r="AK68" s="58"/>
      <c r="AL68" s="58"/>
      <c r="AM68" s="58"/>
      <c r="AN68" s="58"/>
      <c r="AO68" s="58"/>
      <c r="AP68" s="58"/>
      <c r="AQ68" s="58"/>
      <c r="AR68" s="58"/>
      <c r="AS68" s="58"/>
      <c r="AT68" s="58"/>
    </row>
    <row r="69" spans="2:46" x14ac:dyDescent="0.2">
      <c r="B69" s="1" t="s">
        <v>102</v>
      </c>
      <c r="J69" s="22">
        <v>872.79100000000005</v>
      </c>
      <c r="K69" s="22">
        <v>839.41399999999999</v>
      </c>
      <c r="N69" s="22">
        <v>728.077</v>
      </c>
      <c r="O69" s="22">
        <v>703.11099999999999</v>
      </c>
      <c r="P69" s="22">
        <v>668.98299999999995</v>
      </c>
      <c r="Q69" s="22">
        <v>650.83299999999997</v>
      </c>
      <c r="Z69" s="22">
        <f t="shared" si="80"/>
        <v>839.41399999999999</v>
      </c>
      <c r="AA69" s="22">
        <v>703.11099999999999</v>
      </c>
    </row>
    <row r="70" spans="2:46" x14ac:dyDescent="0.2">
      <c r="B70" s="1" t="s">
        <v>106</v>
      </c>
      <c r="J70" s="22">
        <v>74.668000000000006</v>
      </c>
      <c r="K70" s="22">
        <v>98.388999999999996</v>
      </c>
      <c r="N70" s="22">
        <v>99.034000000000006</v>
      </c>
      <c r="O70" s="22">
        <v>86.584000000000003</v>
      </c>
      <c r="P70" s="22">
        <v>84.013999999999996</v>
      </c>
      <c r="Q70" s="22">
        <v>94.378</v>
      </c>
      <c r="Z70" s="22">
        <f t="shared" si="80"/>
        <v>98.388999999999996</v>
      </c>
      <c r="AA70" s="22">
        <v>86.584000000000003</v>
      </c>
    </row>
    <row r="71" spans="2:46" x14ac:dyDescent="0.2">
      <c r="B71" s="1" t="s">
        <v>107</v>
      </c>
      <c r="H71" s="22">
        <f t="shared" ref="H71:N71" si="82">H67+H68+H69+H70</f>
        <v>0</v>
      </c>
      <c r="I71" s="22">
        <f t="shared" si="82"/>
        <v>0</v>
      </c>
      <c r="J71" s="22">
        <f t="shared" si="82"/>
        <v>3393.2050000000004</v>
      </c>
      <c r="K71" s="22">
        <f t="shared" si="82"/>
        <v>3354.6350000000002</v>
      </c>
      <c r="L71" s="22">
        <f t="shared" si="82"/>
        <v>0</v>
      </c>
      <c r="M71" s="22">
        <f t="shared" si="82"/>
        <v>0</v>
      </c>
      <c r="N71" s="22">
        <f t="shared" si="82"/>
        <v>2844.5520000000001</v>
      </c>
      <c r="O71" s="22">
        <f>O67+O68+O69+O70</f>
        <v>2902.4219999999996</v>
      </c>
      <c r="P71" s="22">
        <f>P67+P68+P69+P70</f>
        <v>2723.8779999999997</v>
      </c>
      <c r="Q71" s="22">
        <f>Q67+Q68+Q69+Q70</f>
        <v>2876.7250000000004</v>
      </c>
      <c r="Z71" s="22">
        <f>Z67+Z68+Z69+Z70</f>
        <v>3354.6350000000002</v>
      </c>
      <c r="AA71" s="22">
        <f>AA67+AA68+AA69+AA70</f>
        <v>2902.402</v>
      </c>
    </row>
    <row r="72" spans="2:46" x14ac:dyDescent="0.2">
      <c r="O72" s="22"/>
      <c r="P72" s="22"/>
      <c r="AA72" s="22"/>
    </row>
    <row r="73" spans="2:46" x14ac:dyDescent="0.2">
      <c r="B73" s="1" t="s">
        <v>108</v>
      </c>
      <c r="J73" s="22">
        <v>1470.346</v>
      </c>
      <c r="K73" s="22">
        <v>1675.9929999999999</v>
      </c>
      <c r="N73" s="22">
        <v>1977.749</v>
      </c>
      <c r="O73" s="22">
        <v>2088.9940000000001</v>
      </c>
      <c r="P73" s="22">
        <v>1728.954</v>
      </c>
      <c r="Q73" s="22">
        <v>1729.075</v>
      </c>
      <c r="Z73" s="22">
        <f t="shared" ref="Z73" si="83">K73</f>
        <v>1675.9929999999999</v>
      </c>
      <c r="AA73" s="22">
        <v>2088.9940000000001</v>
      </c>
    </row>
    <row r="74" spans="2:46" x14ac:dyDescent="0.2">
      <c r="B74" s="1" t="s">
        <v>109</v>
      </c>
      <c r="J74" s="22">
        <f>J71+J73</f>
        <v>4863.5510000000004</v>
      </c>
      <c r="K74" s="22">
        <f>K71+K73</f>
        <v>5030.6280000000006</v>
      </c>
      <c r="N74" s="22">
        <f>N71+N73</f>
        <v>4822.3010000000004</v>
      </c>
      <c r="O74" s="22">
        <f>O71+O73</f>
        <v>4991.4159999999993</v>
      </c>
      <c r="P74" s="22">
        <f>P71+P73</f>
        <v>4452.8319999999994</v>
      </c>
      <c r="Q74" s="22">
        <f>Q71+Q73</f>
        <v>4605.8</v>
      </c>
      <c r="Z74" s="22">
        <f>Z71+Z73</f>
        <v>5030.6280000000006</v>
      </c>
      <c r="AA74" s="22">
        <f>AA71+AA73</f>
        <v>4991.3960000000006</v>
      </c>
    </row>
    <row r="76" spans="2:46" x14ac:dyDescent="0.2">
      <c r="B76" s="1" t="s">
        <v>777</v>
      </c>
      <c r="J76" s="22">
        <f t="shared" ref="J76:K76" si="84">J60-J71</f>
        <v>1470.3459999999991</v>
      </c>
      <c r="K76" s="22">
        <f t="shared" si="84"/>
        <v>1675.9930000000004</v>
      </c>
      <c r="N76" s="22">
        <f t="shared" ref="N76:O76" si="85">N60-N71</f>
        <v>1977.7490000000003</v>
      </c>
      <c r="O76" s="22">
        <f t="shared" si="85"/>
        <v>2088.9740000000011</v>
      </c>
      <c r="P76" s="22">
        <f>P60-P71</f>
        <v>1728.9539999999997</v>
      </c>
      <c r="Q76" s="22">
        <f>Q60-Q71</f>
        <v>1729.0950000000003</v>
      </c>
      <c r="Z76" s="22">
        <f t="shared" ref="Z76:Z77" si="86">K76</f>
        <v>1675.9930000000004</v>
      </c>
      <c r="AA76" s="22">
        <f>AA60-AA71</f>
        <v>2088.9940000000006</v>
      </c>
    </row>
    <row r="77" spans="2:46" x14ac:dyDescent="0.2">
      <c r="B77" s="1" t="s">
        <v>776</v>
      </c>
      <c r="J77" s="53">
        <f t="shared" ref="J77:K77" si="87">J76/J22</f>
        <v>3.2196840634675921</v>
      </c>
      <c r="K77" s="53">
        <f t="shared" si="87"/>
        <v>3.6850318044198591</v>
      </c>
      <c r="N77" s="53">
        <f t="shared" ref="N77:O77" si="88">N76/N22</f>
        <v>4.2079586895374916</v>
      </c>
      <c r="O77" s="53">
        <f t="shared" si="88"/>
        <v>4.3869603383608675</v>
      </c>
      <c r="P77" s="53">
        <f>P76/P22</f>
        <v>3.667505965954287</v>
      </c>
      <c r="Q77" s="53">
        <f>Q76/Q22</f>
        <v>3.7718988253002195</v>
      </c>
      <c r="Z77" s="22">
        <f t="shared" si="86"/>
        <v>3.6850318044198591</v>
      </c>
      <c r="AA77" s="53">
        <f>AA76/AA22</f>
        <v>4.4875962397745255</v>
      </c>
    </row>
    <row r="79" spans="2:46" s="58" customFormat="1" x14ac:dyDescent="0.2">
      <c r="B79" s="58" t="s">
        <v>790</v>
      </c>
      <c r="N79" s="70">
        <f>N52/J52-1</f>
        <v>-0.20731990026919744</v>
      </c>
      <c r="O79" s="70">
        <f>O52/K52-1</f>
        <v>-9.4382203054999447E-2</v>
      </c>
      <c r="R79" s="76"/>
      <c r="AA79" s="70">
        <f>AA52/Z52-1</f>
        <v>-9.4382203054999447E-2</v>
      </c>
      <c r="AB79" s="76"/>
    </row>
    <row r="80" spans="2:46" s="32" customFormat="1" x14ac:dyDescent="0.2">
      <c r="B80" s="32" t="s">
        <v>791</v>
      </c>
      <c r="K80" s="65">
        <f t="shared" ref="K80" si="89">K52/J52-1</f>
        <v>-0.15221815876500333</v>
      </c>
      <c r="O80" s="65">
        <f t="shared" ref="O80" si="90">O52/N52-1</f>
        <v>-3.1429799221715626E-2</v>
      </c>
      <c r="P80" s="65">
        <f t="shared" ref="P80" si="91">P52/O52-1</f>
        <v>1.6076952465461369E-2</v>
      </c>
      <c r="Q80" s="65">
        <f>Q52/P52-1</f>
        <v>0.15760593361675279</v>
      </c>
      <c r="R80" s="75"/>
      <c r="AB80" s="75"/>
    </row>
    <row r="82" spans="2:28" s="32" customFormat="1" x14ac:dyDescent="0.2">
      <c r="B82" s="32" t="s">
        <v>6</v>
      </c>
      <c r="H82" s="56">
        <f t="shared" ref="H82:N82" si="92">H50</f>
        <v>0</v>
      </c>
      <c r="I82" s="56">
        <f t="shared" si="92"/>
        <v>0</v>
      </c>
      <c r="J82" s="56">
        <f t="shared" ref="J82:K82" si="93">J50</f>
        <v>865.60900000000004</v>
      </c>
      <c r="K82" s="56">
        <f t="shared" si="92"/>
        <v>1517.3610000000001</v>
      </c>
      <c r="L82" s="56">
        <f t="shared" si="92"/>
        <v>0</v>
      </c>
      <c r="M82" s="56">
        <f t="shared" si="92"/>
        <v>0</v>
      </c>
      <c r="N82" s="56">
        <f t="shared" si="92"/>
        <v>1253.7059999999999</v>
      </c>
      <c r="O82" s="56">
        <f t="shared" ref="O82:P82" si="94">O50</f>
        <v>1669.453</v>
      </c>
      <c r="P82" s="56">
        <f t="shared" si="94"/>
        <v>1009.139</v>
      </c>
      <c r="Q82" s="56">
        <f>Q50</f>
        <v>1049.413</v>
      </c>
      <c r="R82" s="74"/>
      <c r="Z82" s="56">
        <f t="shared" ref="Z82:AA82" si="95">Z50</f>
        <v>1517.3610000000001</v>
      </c>
      <c r="AA82" s="56">
        <f t="shared" si="95"/>
        <v>1669.453</v>
      </c>
      <c r="AB82" s="75"/>
    </row>
    <row r="83" spans="2:28" s="32" customFormat="1" x14ac:dyDescent="0.2">
      <c r="B83" s="32" t="s">
        <v>7</v>
      </c>
      <c r="H83" s="56">
        <f t="shared" ref="H83:N83" si="96">H68</f>
        <v>0</v>
      </c>
      <c r="I83" s="56">
        <f t="shared" si="96"/>
        <v>0</v>
      </c>
      <c r="J83" s="56">
        <f t="shared" ref="J83:K83" si="97">J68</f>
        <v>997.34699999999998</v>
      </c>
      <c r="K83" s="56">
        <f t="shared" si="96"/>
        <v>1003.556</v>
      </c>
      <c r="L83" s="56">
        <f t="shared" si="96"/>
        <v>0</v>
      </c>
      <c r="M83" s="56">
        <f t="shared" si="96"/>
        <v>0</v>
      </c>
      <c r="N83" s="56">
        <f t="shared" si="96"/>
        <v>662.90300000000002</v>
      </c>
      <c r="O83" s="56">
        <f t="shared" ref="O83:P83" si="98">O68</f>
        <v>662.53099999999995</v>
      </c>
      <c r="P83" s="56">
        <f t="shared" si="98"/>
        <v>672.28599999999994</v>
      </c>
      <c r="Q83" s="56">
        <f>Q68</f>
        <v>672.83399999999995</v>
      </c>
      <c r="R83" s="74"/>
      <c r="Z83" s="56">
        <f t="shared" ref="Z83:AA83" si="99">Z68</f>
        <v>1003.556</v>
      </c>
      <c r="AA83" s="56">
        <f t="shared" si="99"/>
        <v>662.53099999999995</v>
      </c>
      <c r="AB83" s="75"/>
    </row>
    <row r="84" spans="2:28" x14ac:dyDescent="0.2">
      <c r="B84" s="1" t="s">
        <v>8</v>
      </c>
      <c r="H84" s="22">
        <f t="shared" ref="H84:N84" si="100">H82-H83</f>
        <v>0</v>
      </c>
      <c r="I84" s="22">
        <f t="shared" si="100"/>
        <v>0</v>
      </c>
      <c r="J84" s="22">
        <f t="shared" ref="J84:K84" si="101">J82-J83</f>
        <v>-131.73799999999994</v>
      </c>
      <c r="K84" s="22">
        <f t="shared" si="100"/>
        <v>513.80500000000006</v>
      </c>
      <c r="L84" s="22">
        <f t="shared" si="100"/>
        <v>0</v>
      </c>
      <c r="M84" s="22">
        <f t="shared" si="100"/>
        <v>0</v>
      </c>
      <c r="N84" s="22">
        <f t="shared" si="100"/>
        <v>590.80299999999988</v>
      </c>
      <c r="O84" s="22">
        <f t="shared" ref="O84:P84" si="102">O82-O83</f>
        <v>1006.922</v>
      </c>
      <c r="P84" s="22">
        <f t="shared" si="102"/>
        <v>336.85300000000007</v>
      </c>
      <c r="Q84" s="22">
        <f>Q82-Q83</f>
        <v>376.57900000000006</v>
      </c>
      <c r="R84" s="74"/>
      <c r="Z84" s="22">
        <f t="shared" ref="Z84:AA84" si="103">Z82-Z83</f>
        <v>513.80500000000006</v>
      </c>
      <c r="AA84" s="22">
        <f t="shared" si="103"/>
        <v>1006.922</v>
      </c>
    </row>
    <row r="86" spans="2:28" x14ac:dyDescent="0.2">
      <c r="B86" s="1" t="s">
        <v>803</v>
      </c>
      <c r="H86" s="1">
        <v>8.41</v>
      </c>
      <c r="I86" s="1">
        <v>8.84</v>
      </c>
      <c r="J86" s="1">
        <v>9.84</v>
      </c>
      <c r="K86" s="1">
        <v>14.88</v>
      </c>
      <c r="L86" s="1">
        <v>18.46</v>
      </c>
      <c r="M86" s="1">
        <v>18.57</v>
      </c>
      <c r="N86" s="1">
        <v>17.52</v>
      </c>
      <c r="O86" s="1">
        <v>18.04</v>
      </c>
      <c r="P86" s="1">
        <v>16.079999999999998</v>
      </c>
      <c r="Q86" s="1">
        <v>7.58</v>
      </c>
      <c r="U86" s="83" t="s">
        <v>87</v>
      </c>
      <c r="V86" s="1">
        <v>25.17</v>
      </c>
      <c r="W86" s="1">
        <v>13.32</v>
      </c>
      <c r="X86" s="1">
        <v>16.170000000000002</v>
      </c>
      <c r="Y86" s="1">
        <v>19.18</v>
      </c>
      <c r="Z86" s="1">
        <f>K86</f>
        <v>14.88</v>
      </c>
      <c r="AA86" s="1">
        <f>O86</f>
        <v>18.04</v>
      </c>
    </row>
    <row r="87" spans="2:28" s="32" customFormat="1" x14ac:dyDescent="0.2">
      <c r="B87" s="32" t="s">
        <v>804</v>
      </c>
      <c r="H87" s="56">
        <f>H86*H22</f>
        <v>3808.6451099999999</v>
      </c>
      <c r="I87" s="56">
        <f t="shared" ref="I87:Q87" si="104">I86*I22</f>
        <v>4014.4296399999998</v>
      </c>
      <c r="J87" s="56">
        <f t="shared" si="104"/>
        <v>4493.6721600000001</v>
      </c>
      <c r="K87" s="56">
        <f t="shared" si="104"/>
        <v>6767.5876799999996</v>
      </c>
      <c r="L87" s="56">
        <f t="shared" si="104"/>
        <v>8418.0184399999998</v>
      </c>
      <c r="M87" s="56">
        <f t="shared" si="104"/>
        <v>8534.8462799999998</v>
      </c>
      <c r="N87" s="56">
        <f t="shared" si="104"/>
        <v>8234.4350400000003</v>
      </c>
      <c r="O87" s="56">
        <f t="shared" si="104"/>
        <v>8590.251119999999</v>
      </c>
      <c r="P87" s="56">
        <f t="shared" si="104"/>
        <v>7580.5139999999992</v>
      </c>
      <c r="Q87" s="56">
        <f t="shared" si="104"/>
        <v>3474.7857000000004</v>
      </c>
      <c r="R87" s="75"/>
      <c r="V87" s="56">
        <f t="shared" ref="V87:Y87" si="105">V86*V22</f>
        <v>10982.426100000001</v>
      </c>
      <c r="W87" s="56">
        <f t="shared" si="105"/>
        <v>5870.5102799999995</v>
      </c>
      <c r="X87" s="56">
        <f t="shared" si="105"/>
        <v>7208.8285500000011</v>
      </c>
      <c r="Y87" s="56">
        <f t="shared" si="105"/>
        <v>8649.4895199999992</v>
      </c>
      <c r="Z87" s="56">
        <f t="shared" ref="Z87:AA87" si="106">Z86*Z22</f>
        <v>6756.8443200000002</v>
      </c>
      <c r="AA87" s="56">
        <f t="shared" si="106"/>
        <v>8397.6921600000005</v>
      </c>
      <c r="AB87" s="75"/>
    </row>
    <row r="88" spans="2:28" s="56" customFormat="1" x14ac:dyDescent="0.2">
      <c r="B88" s="56" t="s">
        <v>9</v>
      </c>
      <c r="J88" s="56">
        <f t="shared" ref="J88:N88" si="107">J87-J84</f>
        <v>4625.4101600000004</v>
      </c>
      <c r="K88" s="56">
        <f t="shared" si="107"/>
        <v>6253.7826799999993</v>
      </c>
      <c r="N88" s="56">
        <f t="shared" si="107"/>
        <v>7643.6320400000004</v>
      </c>
      <c r="O88" s="56">
        <f t="shared" ref="O88:P88" si="108">O87-O84</f>
        <v>7583.3291199999985</v>
      </c>
      <c r="P88" s="56">
        <f t="shared" si="108"/>
        <v>7243.6609999999991</v>
      </c>
      <c r="Q88" s="56">
        <f>Q87-Q84</f>
        <v>3098.2067000000002</v>
      </c>
      <c r="R88" s="74"/>
      <c r="Z88" s="56">
        <f t="shared" ref="Z88:AA88" si="109">Z87-Z84</f>
        <v>6243.0393199999999</v>
      </c>
      <c r="AA88" s="56">
        <f t="shared" si="109"/>
        <v>7390.77016</v>
      </c>
      <c r="AB88" s="74"/>
    </row>
    <row r="90" spans="2:28" x14ac:dyDescent="0.2">
      <c r="B90" s="1" t="s">
        <v>778</v>
      </c>
      <c r="J90" s="69">
        <f t="shared" ref="J90:K90" si="110">J86/J77</f>
        <v>3.0562004861440792</v>
      </c>
      <c r="K90" s="69">
        <f t="shared" si="110"/>
        <v>4.0379570081736604</v>
      </c>
      <c r="N90" s="69">
        <f t="shared" ref="N90:P90" si="111">N86/N77</f>
        <v>4.1635389728423569</v>
      </c>
      <c r="O90" s="69">
        <f t="shared" si="111"/>
        <v>4.1121867098393734</v>
      </c>
      <c r="P90" s="69">
        <f t="shared" si="111"/>
        <v>4.3844509454849581</v>
      </c>
      <c r="Q90" s="69">
        <f>Q86/Q77</f>
        <v>2.0095979110459519</v>
      </c>
      <c r="Z90" s="69">
        <f t="shared" ref="Z90" si="112">Z86/Z77</f>
        <v>4.0379570081736604</v>
      </c>
      <c r="AA90" s="69">
        <f>AA86/AA77</f>
        <v>4.0199694972795506</v>
      </c>
    </row>
    <row r="91" spans="2:28" x14ac:dyDescent="0.2">
      <c r="B91" s="1" t="s">
        <v>809</v>
      </c>
      <c r="J91" s="69">
        <f t="shared" ref="J91" si="113">J87/SUM(G6:J6)</f>
        <v>1.5423293411981622</v>
      </c>
      <c r="K91" s="69">
        <f t="shared" ref="K91:P91" si="114">K87/SUM(H6:K6)</f>
        <v>1.5995330818390172</v>
      </c>
      <c r="L91" s="69">
        <f t="shared" si="114"/>
        <v>1.8332967691100841</v>
      </c>
      <c r="M91" s="69">
        <f t="shared" si="114"/>
        <v>1.6247491502037685</v>
      </c>
      <c r="N91" s="69">
        <f t="shared" si="114"/>
        <v>1.5258758943246864</v>
      </c>
      <c r="O91" s="69">
        <f t="shared" si="114"/>
        <v>1.5429916494080578</v>
      </c>
      <c r="P91" s="69">
        <f t="shared" si="114"/>
        <v>1.3534483543594595</v>
      </c>
      <c r="Q91" s="69">
        <f>Q87/SUM(N6:Q6)</f>
        <v>0.6221570503604078</v>
      </c>
      <c r="V91" s="69">
        <f t="shared" ref="V91:Y91" si="115">V87/V6</f>
        <v>2.3621676596476893</v>
      </c>
      <c r="W91" s="69">
        <f t="shared" si="115"/>
        <v>1.2305088267185433</v>
      </c>
      <c r="X91" s="69">
        <f t="shared" si="115"/>
        <v>1.456904992539475</v>
      </c>
      <c r="Y91" s="69">
        <f t="shared" si="115"/>
        <v>1.7392236210561027</v>
      </c>
      <c r="Z91" s="69">
        <f t="shared" ref="Z91" si="116">Z87/Z6</f>
        <v>1.5969938669011909</v>
      </c>
      <c r="AA91" s="69">
        <f>AA87/AA6</f>
        <v>1.5084039681926689</v>
      </c>
    </row>
    <row r="92" spans="2:28" x14ac:dyDescent="0.2">
      <c r="B92" s="1" t="s">
        <v>58</v>
      </c>
      <c r="J92" s="69">
        <f t="shared" ref="J92" si="117">J86/SUM(G21:J21)</f>
        <v>-6.0757314053217959</v>
      </c>
      <c r="K92" s="69">
        <f t="shared" ref="K92" si="118">K86/SUM(H21:K21)</f>
        <v>-12.257039736665067</v>
      </c>
      <c r="L92" s="69">
        <f t="shared" ref="L92" si="119">L86/SUM(I21:L21)</f>
        <v>71.383779306426774</v>
      </c>
      <c r="M92" s="69">
        <f t="shared" ref="M92" si="120">M86/SUM(J21:M21)</f>
        <v>18.285031241280244</v>
      </c>
      <c r="N92" s="69">
        <f t="shared" ref="N92" si="121">N86/SUM(K21:N21)</f>
        <v>14.952988283370482</v>
      </c>
      <c r="O92" s="69">
        <f t="shared" ref="O92:P92" si="122">O86/SUM(L21:O21)</f>
        <v>18.105251010476522</v>
      </c>
      <c r="P92" s="69">
        <f t="shared" si="122"/>
        <v>22.989620990664498</v>
      </c>
      <c r="Q92" s="69">
        <f>Q86/SUM(N21:Q21)</f>
        <v>20.941179022554319</v>
      </c>
      <c r="V92" s="69">
        <f t="shared" ref="V92:X92" si="123">V86/V21</f>
        <v>42.458927163071316</v>
      </c>
      <c r="W92" s="69">
        <f t="shared" si="123"/>
        <v>-121.64339577289637</v>
      </c>
      <c r="X92" s="69">
        <f t="shared" si="123"/>
        <v>-155.69151548529089</v>
      </c>
      <c r="Y92" s="69">
        <f t="shared" ref="Y92:Z92" si="124">Y86/Y21</f>
        <v>93.871302120640664</v>
      </c>
      <c r="Z92" s="69">
        <f t="shared" si="124"/>
        <v>-12.303582123796154</v>
      </c>
      <c r="AA92" s="69">
        <f>AA86/AA21</f>
        <v>23.323035494084294</v>
      </c>
    </row>
    <row r="93" spans="2:28" x14ac:dyDescent="0.2">
      <c r="B93" s="1" t="s">
        <v>810</v>
      </c>
      <c r="Z93" s="69">
        <f t="shared" ref="Z93" si="125">Z88/Z6</f>
        <v>1.4755550124711148</v>
      </c>
      <c r="AA93" s="69">
        <f>AA88/AA6</f>
        <v>1.327539379264882</v>
      </c>
    </row>
    <row r="94" spans="2:28" x14ac:dyDescent="0.2">
      <c r="Z94" s="69"/>
      <c r="AA94" s="69"/>
    </row>
    <row r="95" spans="2:28" x14ac:dyDescent="0.2">
      <c r="B95" s="1" t="s">
        <v>806</v>
      </c>
      <c r="J95" s="25">
        <f t="shared" ref="J95:K95" si="126">J52/J9</f>
        <v>0.73749442611099214</v>
      </c>
      <c r="K95" s="25">
        <f t="shared" si="126"/>
        <v>0.63826449707429866</v>
      </c>
      <c r="N95" s="25">
        <f t="shared" ref="N95:P95" si="127">N52/N9</f>
        <v>0.54203989305947731</v>
      </c>
      <c r="O95" s="25">
        <f t="shared" si="127"/>
        <v>0.53060904195317171</v>
      </c>
      <c r="P95" s="25">
        <f t="shared" si="127"/>
        <v>0.63373547690332799</v>
      </c>
      <c r="Q95" s="25">
        <f>Q52/Q9</f>
        <v>0.70745268732158828</v>
      </c>
      <c r="Z95" s="25">
        <f t="shared" ref="Z95" si="128">Z52/Z9</f>
        <v>0.20023255361795636</v>
      </c>
      <c r="AA95" s="25">
        <f>AA52/AA9</f>
        <v>0.14276675535667846</v>
      </c>
    </row>
    <row r="96" spans="2:28" x14ac:dyDescent="0.2">
      <c r="K96" s="25"/>
      <c r="O96" s="25"/>
      <c r="P96" s="25"/>
      <c r="Q96" s="25"/>
      <c r="Z96" s="25"/>
      <c r="AA96" s="25"/>
    </row>
    <row r="97" spans="2:46" x14ac:dyDescent="0.2">
      <c r="K97" s="25"/>
      <c r="O97" s="25"/>
      <c r="P97" s="25"/>
      <c r="Q97" s="25"/>
      <c r="Z97" s="25"/>
      <c r="AA97" s="25"/>
    </row>
    <row r="99" spans="2:46" x14ac:dyDescent="0.2">
      <c r="B99" s="27" t="s">
        <v>818</v>
      </c>
    </row>
    <row r="100" spans="2:46" s="32" customFormat="1" x14ac:dyDescent="0.2">
      <c r="B100" s="54" t="s">
        <v>815</v>
      </c>
      <c r="I100" s="65">
        <f t="shared" ref="I100:P100" si="129">I3/H3-1</f>
        <v>-0.28820449048700714</v>
      </c>
      <c r="J100" s="65">
        <f t="shared" si="129"/>
        <v>1.1768782082290343</v>
      </c>
      <c r="K100" s="65">
        <f t="shared" si="129"/>
        <v>4.6761685836980149E-3</v>
      </c>
      <c r="L100" s="65">
        <f t="shared" si="129"/>
        <v>-0.13027499098108597</v>
      </c>
      <c r="M100" s="65">
        <f t="shared" si="129"/>
        <v>7.9195991314019887E-2</v>
      </c>
      <c r="N100" s="65">
        <f t="shared" si="129"/>
        <v>0.21052330549432452</v>
      </c>
      <c r="O100" s="65">
        <f t="shared" si="129"/>
        <v>3.8321500693137889E-2</v>
      </c>
      <c r="P100" s="65">
        <f t="shared" si="129"/>
        <v>-0.2022053470017765</v>
      </c>
      <c r="Q100" s="65">
        <f>Q3/P3-1</f>
        <v>-9.3269024553847002E-3</v>
      </c>
      <c r="R100" s="75"/>
      <c r="AB100" s="75"/>
    </row>
    <row r="101" spans="2:46" s="32" customFormat="1" x14ac:dyDescent="0.2">
      <c r="B101" s="54" t="s">
        <v>816</v>
      </c>
      <c r="I101" s="65">
        <f t="shared" ref="I101:Q101" si="130">I4/H4-1</f>
        <v>-0.11731238792873222</v>
      </c>
      <c r="J101" s="65">
        <f t="shared" si="130"/>
        <v>0.61374798070117631</v>
      </c>
      <c r="K101" s="65">
        <f t="shared" si="130"/>
        <v>-0.19357387499288559</v>
      </c>
      <c r="L101" s="65">
        <f t="shared" si="130"/>
        <v>0.28305012268079333</v>
      </c>
      <c r="M101" s="65">
        <f t="shared" si="130"/>
        <v>0.10870191265406226</v>
      </c>
      <c r="N101" s="65">
        <f t="shared" si="130"/>
        <v>-3.7715860040100302E-2</v>
      </c>
      <c r="O101" s="65">
        <f t="shared" si="130"/>
        <v>-0.14253695582285475</v>
      </c>
      <c r="P101" s="65">
        <f t="shared" si="130"/>
        <v>4.9430357136541092E-2</v>
      </c>
      <c r="Q101" s="65">
        <f t="shared" si="130"/>
        <v>0.17039326448620784</v>
      </c>
      <c r="R101" s="75"/>
      <c r="AB101" s="75"/>
    </row>
    <row r="102" spans="2:46" s="32" customFormat="1" x14ac:dyDescent="0.2">
      <c r="B102" s="54" t="s">
        <v>817</v>
      </c>
      <c r="I102" s="65">
        <f t="shared" ref="I102:Q102" si="131">I5/H5-1</f>
        <v>-0.1718722323906241</v>
      </c>
      <c r="J102" s="65">
        <f t="shared" si="131"/>
        <v>1.5855553971196352</v>
      </c>
      <c r="K102" s="65">
        <f t="shared" si="131"/>
        <v>7.5830690748635021E-4</v>
      </c>
      <c r="L102" s="65">
        <f t="shared" si="131"/>
        <v>-0.19132052076875383</v>
      </c>
      <c r="M102" s="65">
        <f t="shared" si="131"/>
        <v>-5.019762172476061E-2</v>
      </c>
      <c r="N102" s="65">
        <f t="shared" si="131"/>
        <v>0.13310852622799385</v>
      </c>
      <c r="O102" s="65">
        <f t="shared" si="131"/>
        <v>-0.15588270212513355</v>
      </c>
      <c r="P102" s="65">
        <f t="shared" si="131"/>
        <v>-9.2330051570557958E-2</v>
      </c>
      <c r="Q102" s="65">
        <f t="shared" si="131"/>
        <v>2.8924723407341979E-4</v>
      </c>
      <c r="R102" s="75"/>
      <c r="AB102" s="75"/>
    </row>
    <row r="103" spans="2:46" s="2" customFormat="1" x14ac:dyDescent="0.2">
      <c r="B103" s="58" t="s">
        <v>819</v>
      </c>
      <c r="I103" s="70">
        <f t="shared" ref="I103:Q103" si="132">I6/H6-1</f>
        <v>-0.23828539389738534</v>
      </c>
      <c r="J103" s="70">
        <f t="shared" si="132"/>
        <v>1.0549972940599743</v>
      </c>
      <c r="K103" s="70">
        <f t="shared" si="132"/>
        <v>-3.8935998856132414E-2</v>
      </c>
      <c r="L103" s="70">
        <f t="shared" si="132"/>
        <v>-6.1431667318194938E-2</v>
      </c>
      <c r="M103" s="70">
        <f t="shared" si="132"/>
        <v>7.4285635721933918E-2</v>
      </c>
      <c r="N103" s="70">
        <f t="shared" si="132"/>
        <v>0.13999233628213337</v>
      </c>
      <c r="O103" s="70">
        <f t="shared" si="132"/>
        <v>-1.726150932381687E-2</v>
      </c>
      <c r="P103" s="70">
        <f t="shared" si="132"/>
        <v>-0.14652505955360839</v>
      </c>
      <c r="Q103" s="70">
        <f t="shared" si="132"/>
        <v>3.3388630685857734E-2</v>
      </c>
      <c r="R103" s="76"/>
      <c r="AB103" s="76"/>
      <c r="AC103" s="58"/>
      <c r="AD103" s="58"/>
      <c r="AE103" s="58"/>
      <c r="AF103" s="58"/>
      <c r="AG103" s="58"/>
      <c r="AH103" s="58"/>
      <c r="AI103" s="58"/>
      <c r="AJ103" s="58"/>
      <c r="AK103" s="58"/>
      <c r="AL103" s="58"/>
      <c r="AM103" s="58"/>
      <c r="AN103" s="58"/>
      <c r="AO103" s="58"/>
      <c r="AP103" s="58"/>
      <c r="AQ103" s="58"/>
      <c r="AR103" s="58"/>
      <c r="AS103" s="58"/>
      <c r="AT103" s="58"/>
    </row>
    <row r="104" spans="2:46" x14ac:dyDescent="0.2">
      <c r="B104" s="32" t="s">
        <v>820</v>
      </c>
      <c r="I104" s="65">
        <f t="shared" ref="I104:Q104" si="133">I7/H7-1</f>
        <v>-0.68959117130674685</v>
      </c>
      <c r="J104" s="65">
        <f t="shared" si="133"/>
        <v>3.0596315449256624</v>
      </c>
      <c r="K104" s="65">
        <f t="shared" si="133"/>
        <v>1.170892878468214</v>
      </c>
      <c r="L104" s="65">
        <f t="shared" si="133"/>
        <v>-0.60287888511964793</v>
      </c>
      <c r="M104" s="65">
        <f t="shared" si="133"/>
        <v>7.4063813085838204E-2</v>
      </c>
      <c r="N104" s="65">
        <f t="shared" si="133"/>
        <v>0.33695885817462701</v>
      </c>
      <c r="O104" s="65">
        <f t="shared" si="133"/>
        <v>0.17707964886330751</v>
      </c>
      <c r="P104" s="65">
        <f t="shared" si="133"/>
        <v>-0.27328853193465552</v>
      </c>
      <c r="Q104" s="65">
        <f t="shared" si="133"/>
        <v>5.7627246071723981E-2</v>
      </c>
    </row>
    <row r="105" spans="2:46" x14ac:dyDescent="0.2">
      <c r="B105" s="32" t="s">
        <v>821</v>
      </c>
      <c r="I105" s="65">
        <f t="shared" ref="I105:Q105" si="134">I8/H8-1</f>
        <v>-5.2339367300907602E-3</v>
      </c>
      <c r="J105" s="65">
        <f t="shared" si="134"/>
        <v>7.8805848667189871E-2</v>
      </c>
      <c r="K105" s="65">
        <f t="shared" si="134"/>
        <v>-0.14270316878637646</v>
      </c>
      <c r="L105" s="65">
        <f t="shared" si="134"/>
        <v>-1.0297334674377672</v>
      </c>
      <c r="M105" s="65">
        <f t="shared" si="134"/>
        <v>-0.93234672304439747</v>
      </c>
      <c r="N105" s="65">
        <f t="shared" si="134"/>
        <v>-3.171875</v>
      </c>
      <c r="O105" s="65">
        <f t="shared" si="134"/>
        <v>30.97122302158273</v>
      </c>
      <c r="P105" s="65">
        <f t="shared" si="134"/>
        <v>-4.5904590459045824E-2</v>
      </c>
      <c r="Q105" s="65">
        <f t="shared" si="134"/>
        <v>0.98396226415094357</v>
      </c>
    </row>
    <row r="107" spans="2:46" x14ac:dyDescent="0.2">
      <c r="B107" s="1" t="s">
        <v>826</v>
      </c>
      <c r="H107" s="25">
        <f>H12/H9</f>
        <v>0.59414882180942552</v>
      </c>
      <c r="I107" s="25">
        <f t="shared" ref="I107:R107" si="135">I12/I9</f>
        <v>0.67817816969080325</v>
      </c>
      <c r="J107" s="25">
        <f t="shared" si="135"/>
        <v>0.38628115010177799</v>
      </c>
      <c r="K107" s="25">
        <f t="shared" si="135"/>
        <v>0.41729034611181637</v>
      </c>
      <c r="L107" s="25">
        <f t="shared" si="135"/>
        <v>0.40935415746960502</v>
      </c>
      <c r="M107" s="25">
        <f t="shared" si="135"/>
        <v>0.40324771703856505</v>
      </c>
      <c r="N107" s="25">
        <f t="shared" si="135"/>
        <v>0.38781726939332217</v>
      </c>
      <c r="O107" s="25">
        <f t="shared" si="135"/>
        <v>0.44184134893621202</v>
      </c>
      <c r="P107" s="25">
        <f t="shared" si="135"/>
        <v>0.45693399797839268</v>
      </c>
      <c r="Q107" s="25">
        <f t="shared" si="135"/>
        <v>0.44157808009594857</v>
      </c>
      <c r="R107" s="72">
        <f t="shared" si="135"/>
        <v>0.42895725935022022</v>
      </c>
      <c r="U107" s="25">
        <f t="shared" ref="U107:AL107" si="136">U12/U9</f>
        <v>0.37771430114149451</v>
      </c>
      <c r="V107" s="25">
        <f t="shared" si="136"/>
        <v>0.37760351403197812</v>
      </c>
      <c r="W107" s="25">
        <f t="shared" si="136"/>
        <v>0.42080964570985102</v>
      </c>
      <c r="X107" s="25">
        <f t="shared" si="136"/>
        <v>0.42023132239656397</v>
      </c>
      <c r="Y107" s="25">
        <f t="shared" si="136"/>
        <v>0.42409417497036345</v>
      </c>
      <c r="Z107" s="25">
        <f t="shared" si="136"/>
        <v>0.48538449900294256</v>
      </c>
      <c r="AA107" s="25">
        <f t="shared" si="136"/>
        <v>0.41078648134782536</v>
      </c>
      <c r="AB107" s="72">
        <f t="shared" si="136"/>
        <v>0.37352786459200688</v>
      </c>
      <c r="AC107" s="65">
        <f t="shared" si="136"/>
        <v>0.3898998698173477</v>
      </c>
      <c r="AD107" s="65">
        <f t="shared" si="136"/>
        <v>0.40687889459616033</v>
      </c>
      <c r="AE107" s="65">
        <f t="shared" si="136"/>
        <v>0.42449147926761222</v>
      </c>
      <c r="AF107" s="65">
        <f t="shared" si="136"/>
        <v>0.44276401542814858</v>
      </c>
      <c r="AG107" s="65">
        <f t="shared" si="136"/>
        <v>0.46172244331878237</v>
      </c>
      <c r="AH107" s="65">
        <f t="shared" si="136"/>
        <v>0.48172478086605175</v>
      </c>
      <c r="AI107" s="65">
        <f t="shared" si="136"/>
        <v>0.48238207549596013</v>
      </c>
      <c r="AJ107" s="65">
        <f t="shared" si="136"/>
        <v>0.48294740632301031</v>
      </c>
      <c r="AK107" s="65">
        <f t="shared" si="136"/>
        <v>0.48343346744763499</v>
      </c>
      <c r="AL107" s="65">
        <f t="shared" si="136"/>
        <v>0.4838512463586328</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 ref="X1" r:id="rId9" xr:uid="{A4185141-14DE-4895-BB64-5FB2BB6B4E23}"/>
    <hyperlink ref="V1" r:id="rId10" xr:uid="{4B2ECFD3-F5FC-4C83-9A9C-9B6A741AD03E}"/>
  </hyperlinks>
  <pageMargins left="0.7" right="0.7" top="0.75" bottom="0.75" header="0.3" footer="0.3"/>
  <pageSetup paperSize="256" orientation="portrait" horizontalDpi="203" verticalDpi="203" r:id="rId11"/>
  <ignoredErrors>
    <ignoredError sqref="Z6:AA6 L6:Q6 H6:K6 R12 R16 R19 R22 W6:X6 U6:V6" formulaRange="1"/>
    <ignoredError sqref="Z54:Z71 AB11 AB14" formula="1"/>
  </ignoredErrors>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2022-10-30T13:38:30Z</dcterms:modified>
</cp:coreProperties>
</file>