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60C8663-CE3D-40B4-8B4E-55D276CBEE1D}" xr6:coauthVersionLast="36" xr6:coauthVersionMax="47" xr10:uidLastSave="{00000000-0000-0000-0000-000000000000}"/>
  <bookViews>
    <workbookView xWindow="0" yWindow="495" windowWidth="20700" windowHeight="18900" activeTab="1" xr2:uid="{DD3A8C14-BBF5-4F78-B1B7-C8887875BE3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1" i="2" l="1"/>
  <c r="U98" i="2"/>
  <c r="U97" i="2"/>
  <c r="U96" i="2"/>
  <c r="U95" i="2"/>
  <c r="U94" i="2"/>
  <c r="U93" i="2"/>
  <c r="T98" i="2"/>
  <c r="M77" i="2"/>
  <c r="M78" i="2"/>
  <c r="M79" i="2" s="1"/>
  <c r="M81" i="2"/>
  <c r="M74" i="2"/>
  <c r="M73" i="2"/>
  <c r="M75" i="2" s="1"/>
  <c r="M70" i="2"/>
  <c r="M71" i="2" s="1"/>
  <c r="M68" i="2"/>
  <c r="M26" i="2"/>
  <c r="M25" i="2"/>
  <c r="M24" i="2"/>
  <c r="I21" i="2"/>
  <c r="Q26" i="2"/>
  <c r="Q25" i="2"/>
  <c r="Q24" i="2"/>
  <c r="N27" i="2"/>
  <c r="M36" i="2"/>
  <c r="M34" i="2"/>
  <c r="M33" i="2"/>
  <c r="M32" i="2"/>
  <c r="M31" i="2"/>
  <c r="M30" i="2"/>
  <c r="M29" i="2"/>
  <c r="M21" i="2"/>
  <c r="S81" i="2"/>
  <c r="R81" i="2"/>
  <c r="AB85" i="2"/>
  <c r="AB82" i="2"/>
  <c r="AB81" i="2"/>
  <c r="AB75" i="2"/>
  <c r="AB74" i="2"/>
  <c r="AB73" i="2"/>
  <c r="AB71" i="2"/>
  <c r="AB70" i="2"/>
  <c r="AB68" i="2"/>
  <c r="AB67" i="2"/>
  <c r="AB64" i="2"/>
  <c r="AB62" i="2"/>
  <c r="AB61" i="2"/>
  <c r="AB59" i="2"/>
  <c r="AB58" i="2"/>
  <c r="AB57" i="2"/>
  <c r="AB56" i="2"/>
  <c r="AB55" i="2"/>
  <c r="AB63" i="2"/>
  <c r="AB60" i="2"/>
  <c r="AB53" i="2"/>
  <c r="AB52" i="2"/>
  <c r="AB51" i="2"/>
  <c r="AB50" i="2"/>
  <c r="AB49" i="2"/>
  <c r="AB48" i="2"/>
  <c r="AB54" i="2" s="1"/>
  <c r="AB47" i="2"/>
  <c r="AB46" i="2"/>
  <c r="AB45" i="2"/>
  <c r="AB44" i="2"/>
  <c r="AB43" i="2"/>
  <c r="AB42" i="2"/>
  <c r="AB41" i="2"/>
  <c r="AB65" i="2" l="1"/>
  <c r="AB24" i="2"/>
  <c r="AA10" i="2"/>
  <c r="AP29" i="2"/>
  <c r="AP26" i="2"/>
  <c r="V9" i="2" l="1"/>
  <c r="AF17" i="2"/>
  <c r="AG17" i="2" s="1"/>
  <c r="AE17" i="2"/>
  <c r="AD17" i="2"/>
  <c r="AF14" i="2"/>
  <c r="AE14" i="2"/>
  <c r="AD14" i="2"/>
  <c r="AC36" i="2"/>
  <c r="AF22" i="2"/>
  <c r="AG22" i="2" s="1"/>
  <c r="AH22" i="2" s="1"/>
  <c r="AI22" i="2" s="1"/>
  <c r="AJ22" i="2" s="1"/>
  <c r="AK22" i="2" s="1"/>
  <c r="AL22" i="2" s="1"/>
  <c r="AM22" i="2" s="1"/>
  <c r="AE22" i="2"/>
  <c r="AD22" i="2"/>
  <c r="AC22" i="2"/>
  <c r="AC17" i="2"/>
  <c r="AC14" i="2"/>
  <c r="V17" i="2"/>
  <c r="V14" i="2"/>
  <c r="V22" i="2"/>
  <c r="V6" i="2"/>
  <c r="V24" i="2" s="1"/>
  <c r="T85" i="2"/>
  <c r="S85" i="2"/>
  <c r="R85" i="2"/>
  <c r="T83" i="2"/>
  <c r="S83" i="2"/>
  <c r="R83" i="2"/>
  <c r="U83" i="2"/>
  <c r="T82" i="2"/>
  <c r="S82" i="2"/>
  <c r="R82" i="2"/>
  <c r="U82" i="2"/>
  <c r="R74" i="2"/>
  <c r="R73" i="2"/>
  <c r="R75" i="2" s="1"/>
  <c r="R70" i="2"/>
  <c r="R71" i="2" s="1"/>
  <c r="R68" i="2"/>
  <c r="AB78" i="2"/>
  <c r="AB79" i="2" s="1"/>
  <c r="T84" i="2"/>
  <c r="S84" i="2"/>
  <c r="S78" i="2"/>
  <c r="S77" i="2"/>
  <c r="R78" i="2"/>
  <c r="R77" i="2"/>
  <c r="R84" i="2"/>
  <c r="Q22" i="2"/>
  <c r="P22" i="2"/>
  <c r="AB77" i="2"/>
  <c r="AB84" i="2" s="1"/>
  <c r="AB22" i="2"/>
  <c r="AB19" i="2"/>
  <c r="AB20" i="2" s="1"/>
  <c r="AB17" i="2"/>
  <c r="AB14" i="2"/>
  <c r="AB13" i="2"/>
  <c r="AB12" i="2"/>
  <c r="AB11" i="2"/>
  <c r="AB15" i="2" s="1"/>
  <c r="AB8" i="2"/>
  <c r="AB7" i="2"/>
  <c r="AB9" i="2" s="1"/>
  <c r="AB5" i="2"/>
  <c r="AB31" i="2" s="1"/>
  <c r="AB4" i="2"/>
  <c r="AB30" i="2" s="1"/>
  <c r="AB3" i="2"/>
  <c r="AB2" i="2"/>
  <c r="N31" i="2"/>
  <c r="N30" i="2"/>
  <c r="R26" i="2"/>
  <c r="R25" i="2"/>
  <c r="R31" i="2"/>
  <c r="R30" i="2"/>
  <c r="P96" i="2"/>
  <c r="P95" i="2"/>
  <c r="P94" i="2"/>
  <c r="P93" i="2"/>
  <c r="P91" i="2"/>
  <c r="T96" i="2"/>
  <c r="T100" i="2" s="1"/>
  <c r="T95" i="2"/>
  <c r="T94" i="2"/>
  <c r="T93" i="2"/>
  <c r="T91" i="2"/>
  <c r="S74" i="2"/>
  <c r="S73" i="2"/>
  <c r="S31" i="2"/>
  <c r="S30" i="2"/>
  <c r="O31" i="2"/>
  <c r="O30" i="2"/>
  <c r="S26" i="2"/>
  <c r="S25" i="2"/>
  <c r="T78" i="2"/>
  <c r="T74" i="2"/>
  <c r="T73" i="2"/>
  <c r="T75" i="2" s="1"/>
  <c r="T26" i="2"/>
  <c r="T25" i="2"/>
  <c r="T31" i="2"/>
  <c r="T30" i="2"/>
  <c r="P31" i="2"/>
  <c r="P30" i="2"/>
  <c r="AH17" i="2" l="1"/>
  <c r="AI17" i="2" s="1"/>
  <c r="AJ17" i="2" s="1"/>
  <c r="AG14" i="2"/>
  <c r="AH14" i="2"/>
  <c r="AC6" i="2"/>
  <c r="AD6" i="2" s="1"/>
  <c r="AE6" i="2"/>
  <c r="AC9" i="2"/>
  <c r="AC10" i="2" s="1"/>
  <c r="AC29" i="2" s="1"/>
  <c r="V10" i="2"/>
  <c r="V13" i="2"/>
  <c r="AC13" i="2" s="1"/>
  <c r="V12" i="2"/>
  <c r="AC12" i="2" s="1"/>
  <c r="V11" i="2"/>
  <c r="AC24" i="2"/>
  <c r="R79" i="2"/>
  <c r="AB6" i="2"/>
  <c r="AB10" i="2" s="1"/>
  <c r="AB29" i="2" s="1"/>
  <c r="AB16" i="2"/>
  <c r="S75" i="2"/>
  <c r="S79" i="2" s="1"/>
  <c r="T79" i="2"/>
  <c r="T102" i="2"/>
  <c r="S100" i="2"/>
  <c r="S102" i="2" s="1"/>
  <c r="R100" i="2"/>
  <c r="R102" i="2" s="1"/>
  <c r="Q100" i="2"/>
  <c r="Q102" i="2" s="1"/>
  <c r="P100" i="2"/>
  <c r="P102" i="2" s="1"/>
  <c r="O100" i="2"/>
  <c r="O102" i="2" s="1"/>
  <c r="N100" i="2"/>
  <c r="N102" i="2" s="1"/>
  <c r="M100" i="2"/>
  <c r="M102" i="2" s="1"/>
  <c r="L100" i="2"/>
  <c r="L102" i="2" s="1"/>
  <c r="K100" i="2"/>
  <c r="K102" i="2" s="1"/>
  <c r="J100" i="2"/>
  <c r="J102" i="2" s="1"/>
  <c r="I100" i="2"/>
  <c r="I102" i="2" s="1"/>
  <c r="H100" i="2"/>
  <c r="H102" i="2" s="1"/>
  <c r="G100" i="2"/>
  <c r="G102" i="2" s="1"/>
  <c r="F100" i="2"/>
  <c r="F102" i="2" s="1"/>
  <c r="E100" i="2"/>
  <c r="E102" i="2" s="1"/>
  <c r="D100" i="2"/>
  <c r="D102" i="2" s="1"/>
  <c r="C100" i="2"/>
  <c r="C102" i="2" s="1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U100" i="2"/>
  <c r="U102" i="2" s="1"/>
  <c r="U78" i="2"/>
  <c r="AE11" i="2" l="1"/>
  <c r="AE13" i="2"/>
  <c r="AE12" i="2"/>
  <c r="AE9" i="2"/>
  <c r="AD13" i="2"/>
  <c r="AD11" i="2"/>
  <c r="AD15" i="2" s="1"/>
  <c r="AD9" i="2"/>
  <c r="AD10" i="2" s="1"/>
  <c r="AD16" i="2" s="1"/>
  <c r="AD12" i="2"/>
  <c r="AK17" i="2"/>
  <c r="AL17" i="2"/>
  <c r="AM17" i="2" s="1"/>
  <c r="AI14" i="2"/>
  <c r="AF6" i="2"/>
  <c r="AE10" i="2"/>
  <c r="V15" i="2"/>
  <c r="V16" i="2" s="1"/>
  <c r="AC11" i="2"/>
  <c r="AC15" i="2" s="1"/>
  <c r="AC16" i="2" s="1"/>
  <c r="AB18" i="2"/>
  <c r="AB32" i="2"/>
  <c r="AB36" i="2"/>
  <c r="D11" i="1"/>
  <c r="D10" i="1"/>
  <c r="D9" i="1"/>
  <c r="D7" i="1"/>
  <c r="C9" i="1"/>
  <c r="U74" i="2"/>
  <c r="C10" i="1" s="1"/>
  <c r="U73" i="2"/>
  <c r="D28" i="1"/>
  <c r="H65" i="2"/>
  <c r="G65" i="2"/>
  <c r="T60" i="2"/>
  <c r="T65" i="2" s="1"/>
  <c r="T68" i="2" s="1"/>
  <c r="S60" i="2"/>
  <c r="S65" i="2" s="1"/>
  <c r="S68" i="2" s="1"/>
  <c r="R60" i="2"/>
  <c r="R65" i="2" s="1"/>
  <c r="Q60" i="2"/>
  <c r="Q65" i="2" s="1"/>
  <c r="P60" i="2"/>
  <c r="P65" i="2" s="1"/>
  <c r="O60" i="2"/>
  <c r="O65" i="2" s="1"/>
  <c r="N60" i="2"/>
  <c r="N65" i="2" s="1"/>
  <c r="M60" i="2"/>
  <c r="M65" i="2" s="1"/>
  <c r="L60" i="2"/>
  <c r="L65" i="2" s="1"/>
  <c r="K60" i="2"/>
  <c r="K65" i="2" s="1"/>
  <c r="J60" i="2"/>
  <c r="J65" i="2" s="1"/>
  <c r="I60" i="2"/>
  <c r="I65" i="2" s="1"/>
  <c r="H60" i="2"/>
  <c r="G60" i="2"/>
  <c r="F60" i="2"/>
  <c r="F65" i="2" s="1"/>
  <c r="E60" i="2"/>
  <c r="E65" i="2" s="1"/>
  <c r="D60" i="2"/>
  <c r="D65" i="2" s="1"/>
  <c r="C60" i="2"/>
  <c r="C65" i="2" s="1"/>
  <c r="T47" i="2"/>
  <c r="T54" i="2" s="1"/>
  <c r="S47" i="2"/>
  <c r="S54" i="2" s="1"/>
  <c r="R47" i="2"/>
  <c r="R54" i="2" s="1"/>
  <c r="Q47" i="2"/>
  <c r="Q54" i="2" s="1"/>
  <c r="P47" i="2"/>
  <c r="P54" i="2" s="1"/>
  <c r="O47" i="2"/>
  <c r="O54" i="2" s="1"/>
  <c r="N47" i="2"/>
  <c r="N54" i="2" s="1"/>
  <c r="M47" i="2"/>
  <c r="M54" i="2" s="1"/>
  <c r="L47" i="2"/>
  <c r="L54" i="2" s="1"/>
  <c r="K47" i="2"/>
  <c r="K54" i="2" s="1"/>
  <c r="J47" i="2"/>
  <c r="J54" i="2" s="1"/>
  <c r="I47" i="2"/>
  <c r="I54" i="2" s="1"/>
  <c r="H47" i="2"/>
  <c r="H54" i="2" s="1"/>
  <c r="G47" i="2"/>
  <c r="G54" i="2" s="1"/>
  <c r="F47" i="2"/>
  <c r="F54" i="2" s="1"/>
  <c r="E47" i="2"/>
  <c r="E54" i="2" s="1"/>
  <c r="D47" i="2"/>
  <c r="D54" i="2" s="1"/>
  <c r="C47" i="2"/>
  <c r="C54" i="2" s="1"/>
  <c r="U60" i="2"/>
  <c r="U65" i="2" s="1"/>
  <c r="U68" i="2" s="1"/>
  <c r="U47" i="2"/>
  <c r="U54" i="2" s="1"/>
  <c r="U70" i="2" s="1"/>
  <c r="U71" i="2" s="1"/>
  <c r="Q31" i="2"/>
  <c r="U31" i="2"/>
  <c r="Q30" i="2"/>
  <c r="U30" i="2"/>
  <c r="U26" i="2"/>
  <c r="U25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T6" i="2"/>
  <c r="S6" i="2"/>
  <c r="S27" i="2" s="1"/>
  <c r="R6" i="2"/>
  <c r="Q6" i="2"/>
  <c r="P6" i="2"/>
  <c r="O6" i="2"/>
  <c r="N6" i="2"/>
  <c r="N36" i="2" s="1"/>
  <c r="M6" i="2"/>
  <c r="L6" i="2"/>
  <c r="K6" i="2"/>
  <c r="J6" i="2"/>
  <c r="I6" i="2"/>
  <c r="H6" i="2"/>
  <c r="G6" i="2"/>
  <c r="F6" i="2"/>
  <c r="E6" i="2"/>
  <c r="D6" i="2"/>
  <c r="C6" i="2"/>
  <c r="C7" i="1"/>
  <c r="U15" i="2"/>
  <c r="U9" i="2"/>
  <c r="U6" i="2"/>
  <c r="AD18" i="2" l="1"/>
  <c r="AD32" i="2"/>
  <c r="AE15" i="2"/>
  <c r="AE16" i="2" s="1"/>
  <c r="AF9" i="2"/>
  <c r="AF10" i="2" s="1"/>
  <c r="AF12" i="2"/>
  <c r="AF11" i="2"/>
  <c r="AF13" i="2"/>
  <c r="AC18" i="2"/>
  <c r="AC32" i="2"/>
  <c r="AJ14" i="2"/>
  <c r="AK14" i="2"/>
  <c r="AL14" i="2" s="1"/>
  <c r="V18" i="2"/>
  <c r="V32" i="2"/>
  <c r="AG6" i="2"/>
  <c r="O36" i="2"/>
  <c r="O27" i="2"/>
  <c r="S70" i="2"/>
  <c r="S71" i="2" s="1"/>
  <c r="R36" i="2"/>
  <c r="R24" i="2"/>
  <c r="R27" i="2"/>
  <c r="K10" i="2"/>
  <c r="K16" i="2" s="1"/>
  <c r="K18" i="2" s="1"/>
  <c r="K20" i="2" s="1"/>
  <c r="AB34" i="2"/>
  <c r="S36" i="2"/>
  <c r="S24" i="2"/>
  <c r="U36" i="2"/>
  <c r="U27" i="2"/>
  <c r="U75" i="2"/>
  <c r="U79" i="2" s="1"/>
  <c r="C10" i="2"/>
  <c r="C16" i="2" s="1"/>
  <c r="C18" i="2" s="1"/>
  <c r="C20" i="2" s="1"/>
  <c r="D10" i="2"/>
  <c r="D16" i="2" s="1"/>
  <c r="D18" i="2" s="1"/>
  <c r="D20" i="2" s="1"/>
  <c r="P36" i="2"/>
  <c r="P27" i="2"/>
  <c r="Q36" i="2"/>
  <c r="Q27" i="2"/>
  <c r="T70" i="2"/>
  <c r="T71" i="2" s="1"/>
  <c r="T81" i="2" s="1"/>
  <c r="T24" i="2"/>
  <c r="T36" i="2"/>
  <c r="T27" i="2"/>
  <c r="O10" i="2"/>
  <c r="S10" i="2"/>
  <c r="C33" i="1"/>
  <c r="U81" i="2"/>
  <c r="P10" i="2"/>
  <c r="T10" i="2"/>
  <c r="E10" i="2"/>
  <c r="E16" i="2" s="1"/>
  <c r="E18" i="2" s="1"/>
  <c r="E20" i="2" s="1"/>
  <c r="G10" i="2"/>
  <c r="G16" i="2" s="1"/>
  <c r="G18" i="2" s="1"/>
  <c r="G20" i="2" s="1"/>
  <c r="H10" i="2"/>
  <c r="H16" i="2" s="1"/>
  <c r="H18" i="2" s="1"/>
  <c r="H20" i="2" s="1"/>
  <c r="N10" i="2"/>
  <c r="N29" i="2" s="1"/>
  <c r="R10" i="2"/>
  <c r="F10" i="2"/>
  <c r="F16" i="2" s="1"/>
  <c r="F18" i="2" s="1"/>
  <c r="F20" i="2" s="1"/>
  <c r="I10" i="2"/>
  <c r="I16" i="2" s="1"/>
  <c r="I18" i="2" s="1"/>
  <c r="I20" i="2" s="1"/>
  <c r="U24" i="2"/>
  <c r="U10" i="2"/>
  <c r="Q10" i="2"/>
  <c r="Q29" i="2" s="1"/>
  <c r="J10" i="2"/>
  <c r="J16" i="2" s="1"/>
  <c r="J18" i="2" s="1"/>
  <c r="J20" i="2" s="1"/>
  <c r="L10" i="2"/>
  <c r="M10" i="2"/>
  <c r="M16" i="2" s="1"/>
  <c r="M18" i="2" s="1"/>
  <c r="M20" i="2" s="1"/>
  <c r="N16" i="2"/>
  <c r="L16" i="2"/>
  <c r="L18" i="2" s="1"/>
  <c r="L20" i="2" s="1"/>
  <c r="AF15" i="2" l="1"/>
  <c r="AF16" i="2" s="1"/>
  <c r="AF18" i="2" s="1"/>
  <c r="AE18" i="2"/>
  <c r="AE32" i="2"/>
  <c r="AG11" i="2"/>
  <c r="AG13" i="2"/>
  <c r="AG12" i="2"/>
  <c r="AG9" i="2"/>
  <c r="AG10" i="2" s="1"/>
  <c r="AD20" i="2"/>
  <c r="AD19" i="2"/>
  <c r="AM14" i="2"/>
  <c r="AH6" i="2"/>
  <c r="AH11" i="2" s="1"/>
  <c r="V19" i="2"/>
  <c r="AB21" i="2"/>
  <c r="AB33" i="2"/>
  <c r="N18" i="2"/>
  <c r="N32" i="2"/>
  <c r="R16" i="2"/>
  <c r="R29" i="2"/>
  <c r="O16" i="2"/>
  <c r="O29" i="2"/>
  <c r="P16" i="2"/>
  <c r="P29" i="2"/>
  <c r="T16" i="2"/>
  <c r="T29" i="2"/>
  <c r="S16" i="2"/>
  <c r="S29" i="2"/>
  <c r="U16" i="2"/>
  <c r="U29" i="2"/>
  <c r="Q16" i="2"/>
  <c r="AF32" i="2" l="1"/>
  <c r="AG15" i="2"/>
  <c r="AG16" i="2" s="1"/>
  <c r="AD21" i="2"/>
  <c r="AD33" i="2"/>
  <c r="AH12" i="2"/>
  <c r="AH9" i="2"/>
  <c r="AH10" i="2" s="1"/>
  <c r="AH13" i="2"/>
  <c r="AF19" i="2"/>
  <c r="AF20" i="2" s="1"/>
  <c r="AE19" i="2"/>
  <c r="AE20" i="2" s="1"/>
  <c r="V20" i="2"/>
  <c r="AC19" i="2"/>
  <c r="AC20" i="2" s="1"/>
  <c r="AC21" i="2" s="1"/>
  <c r="V33" i="2"/>
  <c r="V21" i="2"/>
  <c r="AI6" i="2"/>
  <c r="AI11" i="2" s="1"/>
  <c r="R18" i="2"/>
  <c r="R32" i="2"/>
  <c r="N20" i="2"/>
  <c r="N34" i="2"/>
  <c r="S18" i="2"/>
  <c r="S32" i="2"/>
  <c r="T18" i="2"/>
  <c r="T32" i="2"/>
  <c r="P18" i="2"/>
  <c r="P32" i="2"/>
  <c r="O18" i="2"/>
  <c r="O32" i="2"/>
  <c r="Q18" i="2"/>
  <c r="Q32" i="2"/>
  <c r="U18" i="2"/>
  <c r="U32" i="2"/>
  <c r="AF21" i="2" l="1"/>
  <c r="AF33" i="2"/>
  <c r="AE21" i="2"/>
  <c r="AE33" i="2"/>
  <c r="AG18" i="2"/>
  <c r="AG32" i="2"/>
  <c r="AI12" i="2"/>
  <c r="AI9" i="2"/>
  <c r="AI10" i="2" s="1"/>
  <c r="AI13" i="2"/>
  <c r="AH15" i="2"/>
  <c r="AH16" i="2" s="1"/>
  <c r="AJ6" i="2"/>
  <c r="AJ11" i="2" s="1"/>
  <c r="N21" i="2"/>
  <c r="N33" i="2"/>
  <c r="R20" i="2"/>
  <c r="R34" i="2"/>
  <c r="O20" i="2"/>
  <c r="O34" i="2"/>
  <c r="P20" i="2"/>
  <c r="P34" i="2"/>
  <c r="T20" i="2"/>
  <c r="T34" i="2"/>
  <c r="S20" i="2"/>
  <c r="S34" i="2"/>
  <c r="U20" i="2"/>
  <c r="U34" i="2"/>
  <c r="Q20" i="2"/>
  <c r="Q34" i="2"/>
  <c r="AI15" i="2" l="1"/>
  <c r="AI16" i="2" s="1"/>
  <c r="AI18" i="2" s="1"/>
  <c r="AH32" i="2"/>
  <c r="AH18" i="2"/>
  <c r="AG19" i="2"/>
  <c r="AG20" i="2" s="1"/>
  <c r="AJ9" i="2"/>
  <c r="AJ10" i="2" s="1"/>
  <c r="AJ12" i="2"/>
  <c r="AJ13" i="2"/>
  <c r="AK6" i="2"/>
  <c r="AK11" i="2" s="1"/>
  <c r="U85" i="2"/>
  <c r="R21" i="2"/>
  <c r="R33" i="2"/>
  <c r="S21" i="2"/>
  <c r="S33" i="2"/>
  <c r="T21" i="2"/>
  <c r="T33" i="2"/>
  <c r="P21" i="2"/>
  <c r="P33" i="2"/>
  <c r="O21" i="2"/>
  <c r="O33" i="2"/>
  <c r="Q21" i="2"/>
  <c r="Q33" i="2"/>
  <c r="U21" i="2"/>
  <c r="U33" i="2"/>
  <c r="AI32" i="2" l="1"/>
  <c r="AI19" i="2"/>
  <c r="AI20" i="2" s="1"/>
  <c r="AG21" i="2"/>
  <c r="AG33" i="2"/>
  <c r="AK9" i="2"/>
  <c r="AK10" i="2" s="1"/>
  <c r="AK12" i="2"/>
  <c r="AK13" i="2"/>
  <c r="AH19" i="2"/>
  <c r="AH20" i="2" s="1"/>
  <c r="AJ15" i="2"/>
  <c r="AJ16" i="2" s="1"/>
  <c r="AJ32" i="2" s="1"/>
  <c r="AL6" i="2"/>
  <c r="AL11" i="2" s="1"/>
  <c r="C36" i="1"/>
  <c r="U84" i="2"/>
  <c r="C8" i="1"/>
  <c r="C34" i="1" s="1"/>
  <c r="C11" i="1"/>
  <c r="AJ18" i="2" l="1"/>
  <c r="AH21" i="2"/>
  <c r="AH33" i="2"/>
  <c r="AI21" i="2"/>
  <c r="AI33" i="2"/>
  <c r="AJ19" i="2"/>
  <c r="AJ20" i="2" s="1"/>
  <c r="AL12" i="2"/>
  <c r="AL9" i="2"/>
  <c r="AL10" i="2" s="1"/>
  <c r="AL13" i="2"/>
  <c r="AK15" i="2"/>
  <c r="AK16" i="2" s="1"/>
  <c r="AM6" i="2"/>
  <c r="AM11" i="2" s="1"/>
  <c r="C12" i="1"/>
  <c r="AL15" i="2" l="1"/>
  <c r="AJ33" i="2"/>
  <c r="AJ21" i="2"/>
  <c r="AK32" i="2"/>
  <c r="AK18" i="2"/>
  <c r="AL16" i="2"/>
  <c r="AL18" i="2" s="1"/>
  <c r="AM10" i="2"/>
  <c r="AM13" i="2"/>
  <c r="AM12" i="2"/>
  <c r="AM9" i="2"/>
  <c r="C35" i="1"/>
  <c r="C37" i="1"/>
  <c r="AL19" i="2" l="1"/>
  <c r="AL20" i="2" s="1"/>
  <c r="AL32" i="2"/>
  <c r="AM15" i="2"/>
  <c r="AM16" i="2" s="1"/>
  <c r="AK19" i="2"/>
  <c r="AK20" i="2" s="1"/>
  <c r="AM18" i="2" l="1"/>
  <c r="AM32" i="2"/>
  <c r="AK21" i="2"/>
  <c r="AK33" i="2"/>
  <c r="AL33" i="2"/>
  <c r="AL21" i="2"/>
  <c r="AM19" i="2" l="1"/>
  <c r="AM20" i="2" s="1"/>
  <c r="AN20" i="2" l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AP25" i="2" s="1"/>
  <c r="AP27" i="2" s="1"/>
  <c r="AP28" i="2" s="1"/>
  <c r="AP30" i="2" s="1"/>
  <c r="AM21" i="2"/>
  <c r="AM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T22" authorId="0" shapeId="0" xr:uid="{F295F52E-E1C1-874B-B243-216813FEA568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10:1 Stock Split</t>
        </r>
      </text>
    </comment>
  </commentList>
</comments>
</file>

<file path=xl/sharedStrings.xml><?xml version="1.0" encoding="utf-8"?>
<sst xmlns="http://schemas.openxmlformats.org/spreadsheetml/2006/main" count="169" uniqueCount="152">
  <si>
    <t>$SHOP</t>
  </si>
  <si>
    <t>Shopify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</si>
  <si>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</si>
  <si>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</si>
  <si>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</si>
  <si>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</si>
  <si>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</si>
  <si>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</si>
  <si>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</si>
  <si>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</si>
  <si>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</si>
  <si>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</si>
  <si>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</si>
  <si>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</si>
  <si>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</si>
  <si>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</si>
  <si>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</si>
  <si>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</si>
  <si>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</si>
  <si>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</si>
  <si>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</si>
  <si>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</si>
  <si>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</si>
  <si>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</si>
  <si>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</si>
  <si>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</si>
  <si>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</si>
  <si>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</si>
  <si>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</si>
  <si>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</si>
  <si>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</si>
  <si>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</si>
  <si>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</si>
  <si>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</si>
  <si>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</si>
  <si>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</si>
  <si>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</si>
  <si>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</si>
  <si>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</si>
  <si>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</si>
  <si>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</si>
  <si>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</si>
  <si>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</si>
  <si>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</si>
  <si>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</si>
  <si>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</si>
  <si>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</si>
  <si>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</si>
  <si>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</si>
  <si>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</si>
  <si>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</si>
  <si>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</si>
  <si>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</si>
  <si>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</si>
  <si>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</si>
  <si>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</si>
  <si>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</si>
  <si>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</si>
  <si>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</si>
  <si>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</si>
  <si>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</si>
  <si>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</si>
  <si>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</si>
  <si>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</si>
  <si>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Key Events</t>
  </si>
  <si>
    <t>Founder</t>
  </si>
  <si>
    <t>Tobias Lutke</t>
  </si>
  <si>
    <t>Allan Leinwand</t>
  </si>
  <si>
    <t>Jeff Hoffmeister</t>
  </si>
  <si>
    <t>Kaz Nejatian</t>
  </si>
  <si>
    <t>Ottowa, Canada</t>
  </si>
  <si>
    <t>Subscription Revenue</t>
  </si>
  <si>
    <t>Merchant Revenue</t>
  </si>
  <si>
    <t>Revenue</t>
  </si>
  <si>
    <t>Subscription COGS</t>
  </si>
  <si>
    <t>Merchant COGS</t>
  </si>
  <si>
    <t>COGS</t>
  </si>
  <si>
    <t>Gross Profit</t>
  </si>
  <si>
    <t>S&amp;M</t>
  </si>
  <si>
    <t>R&amp;D</t>
  </si>
  <si>
    <t>G&amp;A</t>
  </si>
  <si>
    <t>Transaction &amp; Loan Losses</t>
  </si>
  <si>
    <t>Operating Expenses</t>
  </si>
  <si>
    <t>Operating Income</t>
  </si>
  <si>
    <t>Other Income, Net</t>
  </si>
  <si>
    <t>Pretax Income</t>
  </si>
  <si>
    <t>Taxes</t>
  </si>
  <si>
    <t>Net Income</t>
  </si>
  <si>
    <t>EPS</t>
  </si>
  <si>
    <t>Revenue Y/Y</t>
  </si>
  <si>
    <t>Subscription Y/Y</t>
  </si>
  <si>
    <t>Merchant Y/Y</t>
  </si>
  <si>
    <t>Revenue Q/Q</t>
  </si>
  <si>
    <t>Gross Margin</t>
  </si>
  <si>
    <t>Operating Margin</t>
  </si>
  <si>
    <t>Net Margin</t>
  </si>
  <si>
    <t>Tax Rate</t>
  </si>
  <si>
    <t>R&amp;D Budget</t>
  </si>
  <si>
    <t>Balance Sheet</t>
  </si>
  <si>
    <t>Cashflow Statement</t>
  </si>
  <si>
    <t>CFFO</t>
  </si>
  <si>
    <t>CapEx</t>
  </si>
  <si>
    <t>CFFI</t>
  </si>
  <si>
    <t>FCF</t>
  </si>
  <si>
    <t>Shopify POS</t>
  </si>
  <si>
    <t>SaaS Model</t>
  </si>
  <si>
    <t>Merchant Sales</t>
  </si>
  <si>
    <t>Business Model</t>
  </si>
  <si>
    <t>In-person physical retail POS system</t>
  </si>
  <si>
    <t>connected to the Shopify platform</t>
  </si>
  <si>
    <t>Subscription Gross Margin</t>
  </si>
  <si>
    <t>Merchant Gross Margin</t>
  </si>
  <si>
    <t>Marketable Securities</t>
  </si>
  <si>
    <t>Trade &amp; A/R</t>
  </si>
  <si>
    <t>Merchant Cash Advances</t>
  </si>
  <si>
    <t>Income Tax Receivables</t>
  </si>
  <si>
    <t>Other Current Assets</t>
  </si>
  <si>
    <t>TCA</t>
  </si>
  <si>
    <t>PP&amp;E</t>
  </si>
  <si>
    <t>ROU</t>
  </si>
  <si>
    <t>Intangibles</t>
  </si>
  <si>
    <t>Deferred Taxes</t>
  </si>
  <si>
    <t>Equity &amp; Other Investments</t>
  </si>
  <si>
    <t>Goodwill</t>
  </si>
  <si>
    <t>Assets</t>
  </si>
  <si>
    <t>A/P</t>
  </si>
  <si>
    <t>Income Tax Payable</t>
  </si>
  <si>
    <t>Deferred Revenues</t>
  </si>
  <si>
    <t>Lease Liabilities</t>
  </si>
  <si>
    <t>TCL</t>
  </si>
  <si>
    <t>Convertible Senior Notes</t>
  </si>
  <si>
    <t>Liabilities</t>
  </si>
  <si>
    <t>S/E</t>
  </si>
  <si>
    <t>S/E+L</t>
  </si>
  <si>
    <t>Book Value</t>
  </si>
  <si>
    <t>Book Value per Share</t>
  </si>
  <si>
    <t>Share Price</t>
  </si>
  <si>
    <t>MCAP</t>
  </si>
  <si>
    <t>3-Tier subscription model to host eCommerce</t>
  </si>
  <si>
    <t>Purchase of Marketable Securities</t>
  </si>
  <si>
    <t>Matuirity of Marketable Securities</t>
  </si>
  <si>
    <t>Purchase of Equity &amp; Other Investments</t>
  </si>
  <si>
    <t>Acquistiions of PP&amp;E</t>
  </si>
  <si>
    <t>Acquistiions of Businesses</t>
  </si>
  <si>
    <t>Shopify complete a 10:1 share split after share price touches $1,000</t>
  </si>
  <si>
    <t>Maturity Rate</t>
  </si>
  <si>
    <t>Discount Rate</t>
  </si>
  <si>
    <t>NPV</t>
  </si>
  <si>
    <t>Total Value</t>
  </si>
  <si>
    <t>Per Share</t>
  </si>
  <si>
    <t>Current Share Price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</si>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</sst>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8" fillId="0" borderId="0" xfId="0" applyFont="1"/>
    <xf numFmtId="2" fontId="1" fillId="0" borderId="0" xfId="0" applyNumberFormat="1" applyFont="1"/>
    <xf numFmtId="164" fontId="8" fillId="0" borderId="0" xfId="0" applyNumberFormat="1" applyFont="1" applyAlignment="1">
      <alignment horizontal="left" indent="1"/>
    </xf>
    <xf numFmtId="164" fontId="8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2"/>
    </xf>
    <xf numFmtId="9" fontId="8" fillId="0" borderId="0" xfId="0" applyNumberFormat="1" applyFont="1" applyAlignment="1">
      <alignment horizontal="left" indent="1"/>
    </xf>
    <xf numFmtId="9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166" fontId="2" fillId="0" borderId="0" xfId="0" applyNumberFormat="1" applyFont="1"/>
    <xf numFmtId="164" fontId="8" fillId="5" borderId="0" xfId="0" applyNumberFormat="1" applyFont="1" applyFill="1"/>
    <xf numFmtId="9" fontId="8" fillId="5" borderId="0" xfId="0" applyNumberFormat="1" applyFont="1" applyFill="1"/>
    <xf numFmtId="0" fontId="8" fillId="5" borderId="0" xfId="0" applyFont="1" applyFill="1"/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164" fontId="12" fillId="5" borderId="0" xfId="0" applyNumberFormat="1" applyFont="1" applyFill="1"/>
    <xf numFmtId="0" fontId="12" fillId="5" borderId="0" xfId="0" applyFont="1" applyFill="1"/>
    <xf numFmtId="9" fontId="12" fillId="5" borderId="0" xfId="0" applyNumberFormat="1" applyFont="1" applyFill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9" fontId="12" fillId="0" borderId="0" xfId="0" applyNumberFormat="1" applyFont="1"/>
    <xf numFmtId="0" fontId="12" fillId="0" borderId="0" xfId="0" applyFont="1"/>
    <xf numFmtId="2" fontId="8" fillId="5" borderId="0" xfId="0" applyNumberFormat="1" applyFont="1" applyFill="1"/>
    <xf numFmtId="4" fontId="8" fillId="0" borderId="0" xfId="0" applyNumberFormat="1" applyFont="1"/>
    <xf numFmtId="0" fontId="1" fillId="3" borderId="1" xfId="0" applyFont="1" applyFill="1" applyBorder="1"/>
    <xf numFmtId="0" fontId="1" fillId="3" borderId="4" xfId="0" applyFont="1" applyFill="1" applyBorder="1"/>
    <xf numFmtId="9" fontId="1" fillId="3" borderId="4" xfId="0" applyNumberFormat="1" applyFont="1" applyFill="1" applyBorder="1"/>
    <xf numFmtId="9" fontId="1" fillId="0" borderId="5" xfId="0" applyNumberFormat="1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164" fontId="1" fillId="0" borderId="5" xfId="0" applyNumberFormat="1" applyFont="1" applyBorder="1"/>
    <xf numFmtId="3" fontId="1" fillId="0" borderId="5" xfId="0" applyNumberFormat="1" applyFont="1" applyBorder="1"/>
    <xf numFmtId="2" fontId="2" fillId="0" borderId="5" xfId="0" applyNumberFormat="1" applyFont="1" applyBorder="1"/>
    <xf numFmtId="4" fontId="1" fillId="0" borderId="5" xfId="0" applyNumberFormat="1" applyFont="1" applyBorder="1"/>
    <xf numFmtId="2" fontId="8" fillId="0" borderId="0" xfId="0" applyNumberFormat="1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0" xfId="0" applyFont="1" applyFill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4</xdr:col>
      <xdr:colOff>561975</xdr:colOff>
      <xdr:row>3</xdr:row>
      <xdr:rowOff>134302</xdr:rowOff>
    </xdr:to>
    <xdr:pic>
      <xdr:nvPicPr>
        <xdr:cNvPr id="2" name="Picture 1" descr="Shopify Reviews 2023: Details, Pricing, &amp; Features | G2">
          <a:extLst>
            <a:ext uri="{FF2B5EF4-FFF2-40B4-BE49-F238E27FC236}">
              <a16:creationId xmlns:a16="http://schemas.microsoft.com/office/drawing/2014/main" id="{BAD20166-8B39-4BE8-BDBA-22050F99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1181100" cy="620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9525</xdr:rowOff>
    </xdr:from>
    <xdr:to>
      <xdr:col>21</xdr:col>
      <xdr:colOff>9525</xdr:colOff>
      <xdr:row>129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126BAFA-615E-48E1-B724-44563A8700E0}"/>
            </a:ext>
          </a:extLst>
        </xdr:cNvPr>
        <xdr:cNvCxnSpPr/>
      </xdr:nvCxnSpPr>
      <xdr:spPr>
        <a:xfrm>
          <a:off x="13477875" y="9525"/>
          <a:ext cx="0" cy="20135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129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F274CF-C328-4A6B-8D83-99EBC85C9CF7}"/>
            </a:ext>
          </a:extLst>
        </xdr:cNvPr>
        <xdr:cNvCxnSpPr/>
      </xdr:nvCxnSpPr>
      <xdr:spPr>
        <a:xfrm>
          <a:off x="18964275" y="0"/>
          <a:ext cx="0" cy="20135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shopify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v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27.q4cdn.com/572064924/files/doc_financials/2022/q2/Press-Release-Q2-2022.pdf" TargetMode="External"/><Relationship Id="rId1" Type="http://schemas.openxmlformats.org/officeDocument/2006/relationships/hyperlink" Target="https://s27.q4cdn.com/572064924/files/doc_financials/2022/q3/Exhibit-99.1-Press-Release-Q3-2022-(FINAL).pdf" TargetMode="External"/><Relationship Id="rId6" Type="http://schemas.openxmlformats.org/officeDocument/2006/relationships/hyperlink" Target="https://s27.q4cdn.com/572064924/files/doc_financials/2020/q3/Press-Release-Q3-2020.pdf" TargetMode="External"/><Relationship Id="rId5" Type="http://schemas.openxmlformats.org/officeDocument/2006/relationships/hyperlink" Target="https://s27.q4cdn.com/572064924/files/doc_financials/2021/q4/Exhibit-99-1-Press-Release-Q4-2021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s27.q4cdn.com/572064924/files/doc_financials/2021/q4/Exhibit-99-1-Press-Release-Q4-2021.pdf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6E83-3251-4909-AC6D-F91B7A570587}">
  <dimension ref="A2:X38"/>
  <sheetViews>
    <sheetView workbookViewId="0">
      <selection activeCell="C29" sqref="C29:D29"/>
    </sheetView>
  </sheetViews>
  <sheetFormatPr defaultColWidth="9.140625" defaultRowHeight="12.75" x14ac:dyDescent="0.2"/>
  <cols>
    <col min="1" max="16384" width="9.140625" style="1"/>
  </cols>
  <sheetData>
    <row r="2" spans="1:24" x14ac:dyDescent="0.2">
      <c r="B2" s="2" t="s">
        <v>0</v>
      </c>
      <c r="D2" s="15"/>
    </row>
    <row r="3" spans="1:24" x14ac:dyDescent="0.2">
      <c r="B3" s="2" t="s">
        <v>1</v>
      </c>
    </row>
    <row r="5" spans="1:24" x14ac:dyDescent="0.2">
      <c r="B5" s="75" t="s">
        <v>2</v>
      </c>
      <c r="C5" s="76"/>
      <c r="D5" s="77"/>
      <c r="G5" s="75" t="s">
        <v>64</v>
      </c>
      <c r="H5" s="76"/>
      <c r="I5" s="76"/>
      <c r="J5" s="76"/>
      <c r="K5" s="76"/>
      <c r="L5" s="76"/>
      <c r="M5" s="76"/>
      <c r="N5" s="76"/>
      <c r="O5" s="76"/>
      <c r="P5" s="76"/>
      <c r="Q5" s="77"/>
      <c r="T5" s="84" t="s">
        <v>107</v>
      </c>
      <c r="U5" s="84"/>
      <c r="V5" s="84"/>
      <c r="W5" s="84"/>
      <c r="X5" s="84"/>
    </row>
    <row r="6" spans="1:24" x14ac:dyDescent="0.2">
      <c r="B6" s="3" t="s">
        <v>3</v>
      </c>
      <c r="C6" s="1">
        <v>52.93</v>
      </c>
      <c r="D6" s="18"/>
      <c r="G6" s="12"/>
      <c r="H6" s="5"/>
      <c r="I6" s="5"/>
      <c r="J6" s="5"/>
      <c r="K6" s="5"/>
      <c r="L6" s="5"/>
      <c r="M6" s="5"/>
      <c r="N6" s="5"/>
      <c r="O6" s="5"/>
      <c r="P6" s="5"/>
      <c r="Q6" s="8"/>
      <c r="T6" s="6" t="s">
        <v>104</v>
      </c>
      <c r="U6" s="5"/>
      <c r="V6" s="5"/>
      <c r="W6" s="5"/>
      <c r="X6" s="5"/>
    </row>
    <row r="7" spans="1:24" x14ac:dyDescent="0.2">
      <c r="B7" s="3" t="s">
        <v>4</v>
      </c>
      <c r="C7" s="16">
        <f>'Financial Model'!U22</f>
        <v>1269.4252260000001</v>
      </c>
      <c r="D7" s="18" t="str">
        <f>$C$28</f>
        <v>Q322</v>
      </c>
      <c r="G7" s="12"/>
      <c r="H7" s="5"/>
      <c r="I7" s="5"/>
      <c r="J7" s="5"/>
      <c r="K7" s="5"/>
      <c r="L7" s="5"/>
      <c r="M7" s="5"/>
      <c r="N7" s="5"/>
      <c r="O7" s="5"/>
      <c r="P7" s="5"/>
      <c r="Q7" s="8"/>
      <c r="T7" s="38" t="s">
        <v>108</v>
      </c>
      <c r="U7" s="5"/>
      <c r="V7" s="5"/>
      <c r="W7" s="5"/>
      <c r="X7" s="5"/>
    </row>
    <row r="8" spans="1:24" x14ac:dyDescent="0.2">
      <c r="B8" s="3" t="s">
        <v>5</v>
      </c>
      <c r="C8" s="16">
        <f>C6*C7</f>
        <v>67190.677212180002</v>
      </c>
      <c r="D8" s="18"/>
      <c r="G8" s="12"/>
      <c r="H8" s="5"/>
      <c r="I8" s="5"/>
      <c r="J8" s="5"/>
      <c r="K8" s="5"/>
      <c r="L8" s="5"/>
      <c r="M8" s="5"/>
      <c r="N8" s="5"/>
      <c r="O8" s="5"/>
      <c r="P8" s="5"/>
      <c r="Q8" s="8"/>
      <c r="T8" s="39" t="s">
        <v>109</v>
      </c>
      <c r="U8" s="5"/>
      <c r="V8" s="5"/>
      <c r="W8" s="5"/>
      <c r="X8" s="5"/>
    </row>
    <row r="9" spans="1:24" x14ac:dyDescent="0.2">
      <c r="B9" s="3" t="s">
        <v>6</v>
      </c>
      <c r="C9" s="16">
        <f>'Financial Model'!U73</f>
        <v>4941.4319999999998</v>
      </c>
      <c r="D9" s="18" t="str">
        <f t="shared" ref="D9:D11" si="0">$C$28</f>
        <v>Q322</v>
      </c>
      <c r="G9" s="12"/>
      <c r="H9" s="5"/>
      <c r="I9" s="5"/>
      <c r="J9" s="5"/>
      <c r="K9" s="5"/>
      <c r="L9" s="5"/>
      <c r="M9" s="5"/>
      <c r="N9" s="5"/>
      <c r="O9" s="5"/>
      <c r="P9" s="5"/>
      <c r="Q9" s="8"/>
      <c r="T9" s="6" t="s">
        <v>106</v>
      </c>
      <c r="U9" s="5"/>
      <c r="V9" s="5"/>
      <c r="W9" s="5"/>
      <c r="X9" s="5"/>
    </row>
    <row r="10" spans="1:24" x14ac:dyDescent="0.2">
      <c r="B10" s="3" t="s">
        <v>7</v>
      </c>
      <c r="C10" s="16">
        <f>'Financial Model'!U74</f>
        <v>912.72400000000005</v>
      </c>
      <c r="D10" s="18" t="str">
        <f t="shared" si="0"/>
        <v>Q322</v>
      </c>
      <c r="G10" s="12"/>
      <c r="H10" s="5"/>
      <c r="I10" s="5"/>
      <c r="J10" s="5"/>
      <c r="K10" s="5"/>
      <c r="L10" s="5"/>
      <c r="M10" s="5"/>
      <c r="N10" s="5"/>
      <c r="O10" s="5"/>
      <c r="P10" s="5"/>
      <c r="Q10" s="8"/>
      <c r="T10" s="5"/>
      <c r="U10" s="5"/>
      <c r="V10" s="5"/>
      <c r="W10" s="5"/>
      <c r="X10" s="5"/>
    </row>
    <row r="11" spans="1:24" x14ac:dyDescent="0.2">
      <c r="B11" s="3" t="s">
        <v>8</v>
      </c>
      <c r="C11" s="16">
        <f>C9-C10</f>
        <v>4028.7079999999996</v>
      </c>
      <c r="D11" s="18" t="str">
        <f t="shared" si="0"/>
        <v>Q322</v>
      </c>
      <c r="G11" s="12"/>
      <c r="H11" s="5"/>
      <c r="I11" s="5"/>
      <c r="J11" s="5"/>
      <c r="K11" s="5"/>
      <c r="L11" s="5"/>
      <c r="M11" s="5"/>
      <c r="N11" s="5"/>
      <c r="O11" s="5"/>
      <c r="P11" s="5"/>
      <c r="Q11" s="8"/>
      <c r="T11" s="5"/>
      <c r="U11" s="5"/>
      <c r="V11" s="5"/>
      <c r="W11" s="5"/>
      <c r="X11" s="5"/>
    </row>
    <row r="12" spans="1:24" x14ac:dyDescent="0.2">
      <c r="B12" s="4" t="s">
        <v>9</v>
      </c>
      <c r="C12" s="17">
        <f>C8-C11</f>
        <v>63161.969212180004</v>
      </c>
      <c r="D12" s="19"/>
      <c r="G12" s="44">
        <v>44713</v>
      </c>
      <c r="H12" s="5" t="s">
        <v>144</v>
      </c>
      <c r="I12" s="5"/>
      <c r="J12" s="5"/>
      <c r="K12" s="5"/>
      <c r="L12" s="5"/>
      <c r="M12" s="5"/>
      <c r="N12" s="5"/>
      <c r="O12" s="5"/>
      <c r="P12" s="5"/>
      <c r="Q12" s="8"/>
      <c r="T12" s="6" t="s">
        <v>105</v>
      </c>
      <c r="U12" s="5"/>
      <c r="V12" s="5"/>
      <c r="W12" s="5"/>
      <c r="X12" s="5"/>
    </row>
    <row r="13" spans="1:24" x14ac:dyDescent="0.2">
      <c r="G13" s="12"/>
      <c r="H13" s="5"/>
      <c r="I13" s="5"/>
      <c r="J13" s="5"/>
      <c r="K13" s="5"/>
      <c r="L13" s="5"/>
      <c r="M13" s="5"/>
      <c r="N13" s="5"/>
      <c r="O13" s="5"/>
      <c r="P13" s="5"/>
      <c r="Q13" s="8"/>
      <c r="T13" s="38" t="s">
        <v>138</v>
      </c>
      <c r="U13" s="5"/>
      <c r="V13" s="5"/>
      <c r="W13" s="5"/>
      <c r="X13" s="5"/>
    </row>
    <row r="14" spans="1:24" x14ac:dyDescent="0.2">
      <c r="G14" s="12"/>
      <c r="H14" s="5"/>
      <c r="I14" s="5"/>
      <c r="J14" s="5"/>
      <c r="K14" s="5"/>
      <c r="L14" s="5"/>
      <c r="M14" s="5"/>
      <c r="N14" s="5"/>
      <c r="O14" s="5"/>
      <c r="P14" s="5"/>
      <c r="Q14" s="8"/>
      <c r="T14" s="5"/>
      <c r="U14" s="5"/>
      <c r="V14" s="5"/>
      <c r="W14" s="5"/>
      <c r="X14" s="5"/>
    </row>
    <row r="15" spans="1:24" x14ac:dyDescent="0.2">
      <c r="B15" s="75" t="s">
        <v>10</v>
      </c>
      <c r="C15" s="76"/>
      <c r="D15" s="77"/>
      <c r="G15" s="12"/>
      <c r="H15" s="5"/>
      <c r="I15" s="5"/>
      <c r="J15" s="5"/>
      <c r="K15" s="5"/>
      <c r="L15" s="5"/>
      <c r="M15" s="5"/>
      <c r="N15" s="5"/>
      <c r="O15" s="5"/>
      <c r="P15" s="5"/>
      <c r="Q15" s="8"/>
      <c r="T15" s="5"/>
      <c r="U15" s="5"/>
      <c r="V15" s="5"/>
      <c r="W15" s="5"/>
      <c r="X15" s="5"/>
    </row>
    <row r="16" spans="1:24" x14ac:dyDescent="0.2">
      <c r="A16" s="20" t="s">
        <v>65</v>
      </c>
      <c r="B16" s="7" t="s">
        <v>11</v>
      </c>
      <c r="C16" s="78" t="s">
        <v>66</v>
      </c>
      <c r="D16" s="79"/>
      <c r="G16" s="12"/>
      <c r="H16" s="5"/>
      <c r="I16" s="5"/>
      <c r="J16" s="5"/>
      <c r="K16" s="5"/>
      <c r="L16" s="5"/>
      <c r="M16" s="5"/>
      <c r="N16" s="5"/>
      <c r="O16" s="5"/>
      <c r="P16" s="5"/>
      <c r="Q16" s="8"/>
      <c r="T16" s="5"/>
      <c r="U16" s="5"/>
      <c r="V16" s="5"/>
      <c r="W16" s="5"/>
      <c r="X16" s="5"/>
    </row>
    <row r="17" spans="2:17" x14ac:dyDescent="0.2">
      <c r="B17" s="7" t="s">
        <v>12</v>
      </c>
      <c r="C17" s="78" t="s">
        <v>68</v>
      </c>
      <c r="D17" s="79"/>
      <c r="G17" s="12"/>
      <c r="H17" s="5"/>
      <c r="I17" s="5"/>
      <c r="J17" s="5"/>
      <c r="K17" s="5"/>
      <c r="L17" s="5"/>
      <c r="M17" s="5"/>
      <c r="N17" s="5"/>
      <c r="O17" s="5"/>
      <c r="P17" s="5"/>
      <c r="Q17" s="8"/>
    </row>
    <row r="18" spans="2:17" x14ac:dyDescent="0.2">
      <c r="B18" s="7" t="s">
        <v>13</v>
      </c>
      <c r="C18" s="78" t="s">
        <v>69</v>
      </c>
      <c r="D18" s="79"/>
      <c r="G18" s="12"/>
      <c r="H18" s="5"/>
      <c r="I18" s="5"/>
      <c r="J18" s="5"/>
      <c r="K18" s="5"/>
      <c r="L18" s="5"/>
      <c r="M18" s="5"/>
      <c r="N18" s="5"/>
      <c r="O18" s="5"/>
      <c r="P18" s="5"/>
      <c r="Q18" s="8"/>
    </row>
    <row r="19" spans="2:17" x14ac:dyDescent="0.2">
      <c r="B19" s="9" t="s">
        <v>14</v>
      </c>
      <c r="C19" s="73" t="s">
        <v>67</v>
      </c>
      <c r="D19" s="74"/>
      <c r="G19" s="12"/>
      <c r="H19" s="5"/>
      <c r="I19" s="5"/>
      <c r="J19" s="5"/>
      <c r="K19" s="5"/>
      <c r="L19" s="5"/>
      <c r="M19" s="5"/>
      <c r="N19" s="5"/>
      <c r="O19" s="5"/>
      <c r="P19" s="5"/>
      <c r="Q19" s="8"/>
    </row>
    <row r="20" spans="2:17" x14ac:dyDescent="0.2">
      <c r="G20" s="12"/>
      <c r="H20" s="5"/>
      <c r="I20" s="5"/>
      <c r="J20" s="5"/>
      <c r="K20" s="5"/>
      <c r="L20" s="5"/>
      <c r="M20" s="5"/>
      <c r="N20" s="5"/>
      <c r="O20" s="5"/>
      <c r="P20" s="5"/>
      <c r="Q20" s="8"/>
    </row>
    <row r="21" spans="2:17" x14ac:dyDescent="0.2">
      <c r="G21" s="12"/>
      <c r="H21" s="5"/>
      <c r="I21" s="5"/>
      <c r="J21" s="5"/>
      <c r="K21" s="5"/>
      <c r="L21" s="5"/>
      <c r="M21" s="5"/>
      <c r="N21" s="5"/>
      <c r="O21" s="5"/>
      <c r="P21" s="5"/>
      <c r="Q21" s="8"/>
    </row>
    <row r="22" spans="2:17" x14ac:dyDescent="0.2">
      <c r="B22" s="75" t="s">
        <v>15</v>
      </c>
      <c r="C22" s="76"/>
      <c r="D22" s="77"/>
      <c r="G22" s="12"/>
      <c r="H22" s="5"/>
      <c r="I22" s="5"/>
      <c r="J22" s="5"/>
      <c r="K22" s="5"/>
      <c r="L22" s="5"/>
      <c r="M22" s="5"/>
      <c r="N22" s="5"/>
      <c r="O22" s="5"/>
      <c r="P22" s="5"/>
      <c r="Q22" s="8"/>
    </row>
    <row r="23" spans="2:17" x14ac:dyDescent="0.2">
      <c r="B23" s="12" t="s">
        <v>16</v>
      </c>
      <c r="C23" s="78" t="s">
        <v>70</v>
      </c>
      <c r="D23" s="79"/>
      <c r="G23" s="12"/>
      <c r="H23" s="5"/>
      <c r="I23" s="5"/>
      <c r="J23" s="5"/>
      <c r="K23" s="5"/>
      <c r="L23" s="5"/>
      <c r="M23" s="5"/>
      <c r="N23" s="5"/>
      <c r="O23" s="5"/>
      <c r="P23" s="5"/>
      <c r="Q23" s="8"/>
    </row>
    <row r="24" spans="2:17" x14ac:dyDescent="0.2">
      <c r="B24" s="12" t="s">
        <v>17</v>
      </c>
      <c r="C24" s="78">
        <v>2004</v>
      </c>
      <c r="D24" s="79"/>
      <c r="G24" s="12"/>
      <c r="H24" s="5"/>
      <c r="I24" s="5"/>
      <c r="J24" s="5"/>
      <c r="K24" s="5"/>
      <c r="L24" s="5"/>
      <c r="M24" s="5"/>
      <c r="N24" s="5"/>
      <c r="O24" s="5"/>
      <c r="P24" s="5"/>
      <c r="Q24" s="8"/>
    </row>
    <row r="25" spans="2:17" x14ac:dyDescent="0.2">
      <c r="B25" s="12" t="s">
        <v>18</v>
      </c>
      <c r="C25" s="78">
        <v>2015</v>
      </c>
      <c r="D25" s="79"/>
      <c r="G25" s="12"/>
      <c r="H25" s="5"/>
      <c r="I25" s="5"/>
      <c r="J25" s="5"/>
      <c r="K25" s="5"/>
      <c r="L25" s="5"/>
      <c r="M25" s="5"/>
      <c r="N25" s="5"/>
      <c r="O25" s="5"/>
      <c r="P25" s="5"/>
      <c r="Q25" s="8"/>
    </row>
    <row r="26" spans="2:17" x14ac:dyDescent="0.2">
      <c r="B26" s="12"/>
      <c r="C26" s="87"/>
      <c r="D26" s="88"/>
      <c r="G26" s="12"/>
      <c r="H26" s="5"/>
      <c r="I26" s="5"/>
      <c r="J26" s="5"/>
      <c r="K26" s="5"/>
      <c r="L26" s="5"/>
      <c r="M26" s="5"/>
      <c r="N26" s="5"/>
      <c r="O26" s="5"/>
      <c r="P26" s="5"/>
      <c r="Q26" s="8"/>
    </row>
    <row r="27" spans="2:17" x14ac:dyDescent="0.2">
      <c r="B27" s="12"/>
      <c r="C27" s="87"/>
      <c r="D27" s="88"/>
      <c r="G27" s="12"/>
      <c r="H27" s="5"/>
      <c r="I27" s="5"/>
      <c r="J27" s="5"/>
      <c r="K27" s="5"/>
      <c r="L27" s="5"/>
      <c r="M27" s="5"/>
      <c r="N27" s="5"/>
      <c r="O27" s="5"/>
      <c r="P27" s="5"/>
      <c r="Q27" s="8"/>
    </row>
    <row r="28" spans="2:17" x14ac:dyDescent="0.2">
      <c r="B28" s="12" t="s">
        <v>19</v>
      </c>
      <c r="C28" s="14" t="s">
        <v>47</v>
      </c>
      <c r="D28" s="42">
        <f>'Financial Model'!U3</f>
        <v>46661</v>
      </c>
      <c r="G28" s="12"/>
      <c r="H28" s="5"/>
      <c r="I28" s="5"/>
      <c r="J28" s="5"/>
      <c r="K28" s="5"/>
      <c r="L28" s="5"/>
      <c r="M28" s="5"/>
      <c r="N28" s="5"/>
      <c r="O28" s="5"/>
      <c r="P28" s="5"/>
      <c r="Q28" s="8"/>
    </row>
    <row r="29" spans="2:17" x14ac:dyDescent="0.2">
      <c r="B29" s="13" t="s">
        <v>20</v>
      </c>
      <c r="C29" s="85" t="s">
        <v>28</v>
      </c>
      <c r="D29" s="86"/>
      <c r="G29" s="13"/>
      <c r="H29" s="10"/>
      <c r="I29" s="10"/>
      <c r="J29" s="10"/>
      <c r="K29" s="10"/>
      <c r="L29" s="10"/>
      <c r="M29" s="10"/>
      <c r="N29" s="10"/>
      <c r="O29" s="10"/>
      <c r="P29" s="10"/>
      <c r="Q29" s="11"/>
    </row>
    <row r="32" spans="2:17" x14ac:dyDescent="0.2">
      <c r="B32" s="75" t="s">
        <v>21</v>
      </c>
      <c r="C32" s="76"/>
      <c r="D32" s="77"/>
    </row>
    <row r="33" spans="2:4" x14ac:dyDescent="0.2">
      <c r="B33" s="12" t="s">
        <v>22</v>
      </c>
      <c r="C33" s="80">
        <f>C6/'Financial Model'!U71</f>
        <v>7.729278198315245</v>
      </c>
      <c r="D33" s="81"/>
    </row>
    <row r="34" spans="2:4" x14ac:dyDescent="0.2">
      <c r="B34" s="12" t="s">
        <v>23</v>
      </c>
      <c r="C34" s="80">
        <f>C8/SUM('Financial Model'!R6:U6)</f>
        <v>12.810644455706582</v>
      </c>
      <c r="D34" s="81"/>
    </row>
    <row r="35" spans="2:4" x14ac:dyDescent="0.2">
      <c r="B35" s="12" t="s">
        <v>24</v>
      </c>
      <c r="C35" s="80">
        <f>C12/SUM('Financial Model'!R6:U6)</f>
        <v>12.042526794965024</v>
      </c>
      <c r="D35" s="81"/>
    </row>
    <row r="36" spans="2:4" x14ac:dyDescent="0.2">
      <c r="B36" s="12" t="s">
        <v>25</v>
      </c>
      <c r="C36" s="80">
        <f>C6/SUM('Financial Model'!R21:U21)</f>
        <v>-3.3644129896469788</v>
      </c>
      <c r="D36" s="81"/>
    </row>
    <row r="37" spans="2:4" x14ac:dyDescent="0.2">
      <c r="B37" s="12" t="s">
        <v>26</v>
      </c>
      <c r="C37" s="80">
        <f>C12/SUM('Financial Model'!R20:U20)</f>
        <v>-19.688678338041829</v>
      </c>
      <c r="D37" s="81"/>
    </row>
    <row r="38" spans="2:4" x14ac:dyDescent="0.2">
      <c r="B38" s="13" t="s">
        <v>27</v>
      </c>
      <c r="C38" s="82"/>
      <c r="D38" s="83"/>
    </row>
  </sheetData>
  <mergeCells count="22">
    <mergeCell ref="C36:D36"/>
    <mergeCell ref="C37:D37"/>
    <mergeCell ref="C38:D38"/>
    <mergeCell ref="G5:Q5"/>
    <mergeCell ref="T5:X5"/>
    <mergeCell ref="C29:D29"/>
    <mergeCell ref="B32:D32"/>
    <mergeCell ref="C33:D33"/>
    <mergeCell ref="C34:D34"/>
    <mergeCell ref="C35:D35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29:D29" r:id="rId1" display="Link" xr:uid="{2A54B12F-EBE0-4DCB-A8AD-3BBE3B84923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B027-C354-42BF-BB7E-A89113FA6041}">
  <dimension ref="B1:CI102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61" sqref="P61"/>
    </sheetView>
  </sheetViews>
  <sheetFormatPr defaultColWidth="9.140625" defaultRowHeight="12.75" x14ac:dyDescent="0.2"/>
  <cols>
    <col min="1" max="1" width="4.28515625" style="1" customWidth="1"/>
    <col min="2" max="2" width="24" style="1" bestFit="1" customWidth="1"/>
    <col min="3" max="28" width="9.140625" style="1"/>
    <col min="29" max="29" width="9.140625" style="48"/>
    <col min="30" max="39" width="9.140625" style="28"/>
    <col min="40" max="40" width="9.140625" style="1"/>
    <col min="41" max="41" width="16.42578125" style="1" bestFit="1" customWidth="1"/>
    <col min="42" max="42" width="9.7109375" style="1" bestFit="1" customWidth="1"/>
    <col min="43" max="16384" width="9.140625" style="1"/>
  </cols>
  <sheetData>
    <row r="1" spans="2:39" s="21" customFormat="1" x14ac:dyDescent="0.2"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1" t="s">
        <v>37</v>
      </c>
      <c r="L1" s="21" t="s">
        <v>38</v>
      </c>
      <c r="M1" s="24" t="s">
        <v>39</v>
      </c>
      <c r="N1" s="21" t="s">
        <v>40</v>
      </c>
      <c r="O1" s="21" t="s">
        <v>41</v>
      </c>
      <c r="P1" s="21" t="s">
        <v>42</v>
      </c>
      <c r="Q1" s="21" t="s">
        <v>43</v>
      </c>
      <c r="R1" s="24" t="s">
        <v>44</v>
      </c>
      <c r="S1" s="24" t="s">
        <v>45</v>
      </c>
      <c r="T1" s="24" t="s">
        <v>46</v>
      </c>
      <c r="U1" s="24" t="s">
        <v>47</v>
      </c>
      <c r="V1" s="21" t="s">
        <v>48</v>
      </c>
      <c r="Y1" s="21" t="s">
        <v>49</v>
      </c>
      <c r="Z1" s="21" t="s">
        <v>50</v>
      </c>
      <c r="AA1" s="21" t="s">
        <v>51</v>
      </c>
      <c r="AB1" s="24" t="s">
        <v>52</v>
      </c>
      <c r="AC1" s="49" t="s">
        <v>53</v>
      </c>
      <c r="AD1" s="54" t="s">
        <v>54</v>
      </c>
      <c r="AE1" s="54" t="s">
        <v>55</v>
      </c>
      <c r="AF1" s="54" t="s">
        <v>56</v>
      </c>
      <c r="AG1" s="54" t="s">
        <v>57</v>
      </c>
      <c r="AH1" s="54" t="s">
        <v>58</v>
      </c>
      <c r="AI1" s="54" t="s">
        <v>59</v>
      </c>
      <c r="AJ1" s="54" t="s">
        <v>60</v>
      </c>
      <c r="AK1" s="54" t="s">
        <v>61</v>
      </c>
      <c r="AL1" s="54" t="s">
        <v>62</v>
      </c>
      <c r="AM1" s="54" t="s">
        <v>63</v>
      </c>
    </row>
    <row r="2" spans="2:39" s="23" customFormat="1" x14ac:dyDescent="0.2">
      <c r="B2" s="22"/>
      <c r="I2" s="26">
        <v>43738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AB2" s="26">
        <f>R2</f>
        <v>44561</v>
      </c>
      <c r="AC2" s="50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2:39" s="23" customFormat="1" x14ac:dyDescent="0.2">
      <c r="B3" s="22"/>
      <c r="M3" s="25">
        <v>47392</v>
      </c>
      <c r="R3" s="25">
        <v>42401</v>
      </c>
      <c r="S3" s="25">
        <v>38473</v>
      </c>
      <c r="T3" s="25">
        <v>46569</v>
      </c>
      <c r="U3" s="25">
        <v>46661</v>
      </c>
      <c r="AB3" s="25">
        <f>R3</f>
        <v>42401</v>
      </c>
      <c r="AC3" s="50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2:39" s="31" customFormat="1" x14ac:dyDescent="0.2">
      <c r="B4" s="30" t="s">
        <v>71</v>
      </c>
      <c r="I4" s="31">
        <v>165.577</v>
      </c>
      <c r="M4" s="31">
        <v>245.274</v>
      </c>
      <c r="N4" s="31">
        <v>279.44</v>
      </c>
      <c r="O4" s="31">
        <v>320.68099999999998</v>
      </c>
      <c r="P4" s="31">
        <v>334.23700000000002</v>
      </c>
      <c r="Q4" s="31">
        <v>336.20800000000003</v>
      </c>
      <c r="R4" s="31">
        <v>351.20800000000003</v>
      </c>
      <c r="S4" s="31">
        <v>344.76100000000002</v>
      </c>
      <c r="T4" s="31">
        <v>366.44299999999998</v>
      </c>
      <c r="U4" s="31">
        <v>376.30099999999999</v>
      </c>
      <c r="AB4" s="31">
        <f>SUM(O4:R4)</f>
        <v>1342.3340000000001</v>
      </c>
      <c r="AC4" s="46"/>
    </row>
    <row r="5" spans="2:39" s="31" customFormat="1" x14ac:dyDescent="0.2">
      <c r="B5" s="30" t="s">
        <v>72</v>
      </c>
      <c r="I5" s="31">
        <v>224.97499999999999</v>
      </c>
      <c r="M5" s="31">
        <v>522.13099999999997</v>
      </c>
      <c r="N5" s="31">
        <v>698.30399999999997</v>
      </c>
      <c r="O5" s="31">
        <v>667.96600000000001</v>
      </c>
      <c r="P5" s="31">
        <v>785.20799999999997</v>
      </c>
      <c r="Q5" s="31">
        <v>787.53200000000004</v>
      </c>
      <c r="R5" s="31">
        <v>1028.816</v>
      </c>
      <c r="S5" s="31">
        <v>858.86199999999997</v>
      </c>
      <c r="T5" s="31">
        <v>928.62</v>
      </c>
      <c r="U5" s="31">
        <v>989.899</v>
      </c>
      <c r="AB5" s="31">
        <f t="shared" ref="AB5:AB8" si="0">SUM(O5:R5)</f>
        <v>3269.5219999999999</v>
      </c>
      <c r="AC5" s="46"/>
    </row>
    <row r="6" spans="2:39" s="32" customFormat="1" x14ac:dyDescent="0.2">
      <c r="B6" s="32" t="s">
        <v>73</v>
      </c>
      <c r="C6" s="32">
        <f t="shared" ref="C6:T6" si="1">C4+C5</f>
        <v>0</v>
      </c>
      <c r="D6" s="32">
        <f t="shared" si="1"/>
        <v>0</v>
      </c>
      <c r="E6" s="32">
        <f t="shared" si="1"/>
        <v>0</v>
      </c>
      <c r="F6" s="32">
        <f t="shared" si="1"/>
        <v>0</v>
      </c>
      <c r="G6" s="32">
        <f t="shared" si="1"/>
        <v>0</v>
      </c>
      <c r="H6" s="32">
        <f t="shared" si="1"/>
        <v>0</v>
      </c>
      <c r="I6" s="32">
        <f t="shared" si="1"/>
        <v>390.55200000000002</v>
      </c>
      <c r="J6" s="32">
        <f t="shared" si="1"/>
        <v>0</v>
      </c>
      <c r="K6" s="32">
        <f t="shared" si="1"/>
        <v>0</v>
      </c>
      <c r="L6" s="32">
        <f t="shared" si="1"/>
        <v>0</v>
      </c>
      <c r="M6" s="32">
        <f t="shared" si="1"/>
        <v>767.40499999999997</v>
      </c>
      <c r="N6" s="32">
        <f t="shared" si="1"/>
        <v>977.74399999999991</v>
      </c>
      <c r="O6" s="32">
        <f t="shared" si="1"/>
        <v>988.64699999999993</v>
      </c>
      <c r="P6" s="32">
        <f t="shared" si="1"/>
        <v>1119.4449999999999</v>
      </c>
      <c r="Q6" s="32">
        <f t="shared" si="1"/>
        <v>1123.74</v>
      </c>
      <c r="R6" s="32">
        <f t="shared" si="1"/>
        <v>1380.0240000000001</v>
      </c>
      <c r="S6" s="32">
        <f t="shared" si="1"/>
        <v>1203.623</v>
      </c>
      <c r="T6" s="32">
        <f t="shared" si="1"/>
        <v>1295.0630000000001</v>
      </c>
      <c r="U6" s="32">
        <f>U4+U5</f>
        <v>1366.2</v>
      </c>
      <c r="V6" s="32">
        <f>U6*(1+V27)</f>
        <v>1707.75</v>
      </c>
      <c r="AA6" s="32">
        <v>2929.491</v>
      </c>
      <c r="AB6" s="32">
        <f>AB4+AB5</f>
        <v>4611.8559999999998</v>
      </c>
      <c r="AC6" s="51">
        <f>SUM(S6:V6)</f>
        <v>5572.6360000000004</v>
      </c>
      <c r="AD6" s="56">
        <f>AC6*(1+AD24)</f>
        <v>7244.4268000000011</v>
      </c>
      <c r="AE6" s="56">
        <f t="shared" ref="AE6:AM6" si="2">AD6*(1+AE24)</f>
        <v>10142.197520000002</v>
      </c>
      <c r="AF6" s="56">
        <f t="shared" si="2"/>
        <v>15213.296280000002</v>
      </c>
      <c r="AG6" s="56">
        <f t="shared" si="2"/>
        <v>22059.279606000004</v>
      </c>
      <c r="AH6" s="56">
        <f t="shared" si="2"/>
        <v>30882.991448400004</v>
      </c>
      <c r="AI6" s="56">
        <f t="shared" si="2"/>
        <v>40147.888882920008</v>
      </c>
      <c r="AJ6" s="56">
        <f t="shared" si="2"/>
        <v>48177.466659504011</v>
      </c>
      <c r="AK6" s="56">
        <f t="shared" si="2"/>
        <v>56849.410658214729</v>
      </c>
      <c r="AL6" s="56">
        <f t="shared" si="2"/>
        <v>64239.834043782641</v>
      </c>
      <c r="AM6" s="56">
        <f t="shared" si="2"/>
        <v>69379.020767285256</v>
      </c>
    </row>
    <row r="7" spans="2:39" s="31" customFormat="1" x14ac:dyDescent="0.2">
      <c r="B7" s="30" t="s">
        <v>74</v>
      </c>
      <c r="I7" s="31">
        <v>33.262999999999998</v>
      </c>
      <c r="M7" s="31">
        <v>52.17</v>
      </c>
      <c r="N7" s="31">
        <v>59.25</v>
      </c>
      <c r="O7" s="31">
        <v>58.381999999999998</v>
      </c>
      <c r="P7" s="31">
        <v>63.027000000000001</v>
      </c>
      <c r="Q7" s="31">
        <v>67.355000000000004</v>
      </c>
      <c r="R7" s="31">
        <v>75.587000000000003</v>
      </c>
      <c r="S7" s="31">
        <v>77.545000000000002</v>
      </c>
      <c r="T7" s="31">
        <v>85.238</v>
      </c>
      <c r="U7" s="31">
        <v>82.313000000000002</v>
      </c>
      <c r="AB7" s="31">
        <f t="shared" si="0"/>
        <v>264.351</v>
      </c>
      <c r="AC7" s="46"/>
    </row>
    <row r="8" spans="2:39" s="31" customFormat="1" x14ac:dyDescent="0.2">
      <c r="B8" s="30" t="s">
        <v>75</v>
      </c>
      <c r="I8" s="31">
        <v>140.59299999999999</v>
      </c>
      <c r="M8" s="31">
        <v>310.08699999999999</v>
      </c>
      <c r="N8" s="31">
        <v>414.10599999999999</v>
      </c>
      <c r="O8" s="31">
        <v>371.54899999999998</v>
      </c>
      <c r="P8" s="31">
        <v>435.55799999999999</v>
      </c>
      <c r="Q8" s="31">
        <v>447.476</v>
      </c>
      <c r="R8" s="31">
        <v>611.77800000000002</v>
      </c>
      <c r="S8" s="31">
        <v>488.44099999999997</v>
      </c>
      <c r="T8" s="31">
        <v>554.18299999999999</v>
      </c>
      <c r="U8" s="31">
        <v>621.55499999999995</v>
      </c>
      <c r="AB8" s="31">
        <f t="shared" si="0"/>
        <v>1866.3610000000001</v>
      </c>
      <c r="AC8" s="46"/>
    </row>
    <row r="9" spans="2:39" s="33" customFormat="1" x14ac:dyDescent="0.2">
      <c r="B9" s="33" t="s">
        <v>76</v>
      </c>
      <c r="C9" s="33">
        <f t="shared" ref="C9:T9" si="3">C7+C8</f>
        <v>0</v>
      </c>
      <c r="D9" s="33">
        <f t="shared" si="3"/>
        <v>0</v>
      </c>
      <c r="E9" s="33">
        <f t="shared" si="3"/>
        <v>0</v>
      </c>
      <c r="F9" s="33">
        <f t="shared" si="3"/>
        <v>0</v>
      </c>
      <c r="G9" s="33">
        <f t="shared" si="3"/>
        <v>0</v>
      </c>
      <c r="H9" s="33">
        <f t="shared" si="3"/>
        <v>0</v>
      </c>
      <c r="I9" s="33">
        <f t="shared" si="3"/>
        <v>173.85599999999999</v>
      </c>
      <c r="J9" s="33">
        <f t="shared" si="3"/>
        <v>0</v>
      </c>
      <c r="K9" s="33">
        <f t="shared" si="3"/>
        <v>0</v>
      </c>
      <c r="L9" s="33">
        <f t="shared" si="3"/>
        <v>0</v>
      </c>
      <c r="M9" s="33">
        <f t="shared" si="3"/>
        <v>362.25700000000001</v>
      </c>
      <c r="N9" s="33">
        <f t="shared" si="3"/>
        <v>473.35599999999999</v>
      </c>
      <c r="O9" s="33">
        <f t="shared" si="3"/>
        <v>429.93099999999998</v>
      </c>
      <c r="P9" s="33">
        <f t="shared" si="3"/>
        <v>498.58499999999998</v>
      </c>
      <c r="Q9" s="33">
        <f t="shared" si="3"/>
        <v>514.83100000000002</v>
      </c>
      <c r="R9" s="33">
        <f t="shared" si="3"/>
        <v>687.36500000000001</v>
      </c>
      <c r="S9" s="33">
        <f t="shared" si="3"/>
        <v>565.98599999999999</v>
      </c>
      <c r="T9" s="33">
        <f t="shared" si="3"/>
        <v>639.42100000000005</v>
      </c>
      <c r="U9" s="33">
        <f>U7+U8</f>
        <v>703.86799999999994</v>
      </c>
      <c r="V9" s="33">
        <f>V6*(1-V29)</f>
        <v>853.875</v>
      </c>
      <c r="X9" s="31"/>
      <c r="Y9" s="31"/>
      <c r="AA9" s="33">
        <v>1387.971</v>
      </c>
      <c r="AB9" s="33">
        <f>AB7+AB8</f>
        <v>2130.712</v>
      </c>
      <c r="AC9" s="46">
        <f>SUM(S9:V9)</f>
        <v>2763.15</v>
      </c>
      <c r="AD9" s="33">
        <f t="shared" ref="AD9:AM9" si="4">AD6*(1-AD29)</f>
        <v>3477.3248640000006</v>
      </c>
      <c r="AE9" s="33">
        <f t="shared" si="4"/>
        <v>4969.6767848000009</v>
      </c>
      <c r="AF9" s="33">
        <f t="shared" si="4"/>
        <v>7454.5151772000008</v>
      </c>
      <c r="AG9" s="33">
        <f t="shared" si="4"/>
        <v>10588.454210880001</v>
      </c>
      <c r="AH9" s="33">
        <f t="shared" si="4"/>
        <v>14515.005980748001</v>
      </c>
      <c r="AI9" s="33">
        <f t="shared" si="4"/>
        <v>18066.549997314003</v>
      </c>
      <c r="AJ9" s="33">
        <f t="shared" si="4"/>
        <v>21679.859996776802</v>
      </c>
      <c r="AK9" s="33">
        <f t="shared" si="4"/>
        <v>25582.234796196626</v>
      </c>
      <c r="AL9" s="33">
        <f t="shared" si="4"/>
        <v>28907.925319702186</v>
      </c>
      <c r="AM9" s="33">
        <f t="shared" si="4"/>
        <v>31220.559345278361</v>
      </c>
    </row>
    <row r="10" spans="2:39" s="32" customFormat="1" x14ac:dyDescent="0.2">
      <c r="B10" s="32" t="s">
        <v>77</v>
      </c>
      <c r="C10" s="32">
        <f t="shared" ref="C10:T10" si="5">C6-C9</f>
        <v>0</v>
      </c>
      <c r="D10" s="32">
        <f t="shared" si="5"/>
        <v>0</v>
      </c>
      <c r="E10" s="32">
        <f t="shared" si="5"/>
        <v>0</v>
      </c>
      <c r="F10" s="32">
        <f t="shared" si="5"/>
        <v>0</v>
      </c>
      <c r="G10" s="32">
        <f t="shared" si="5"/>
        <v>0</v>
      </c>
      <c r="H10" s="32">
        <f t="shared" si="5"/>
        <v>0</v>
      </c>
      <c r="I10" s="32">
        <f t="shared" si="5"/>
        <v>216.69600000000003</v>
      </c>
      <c r="J10" s="32">
        <f t="shared" si="5"/>
        <v>0</v>
      </c>
      <c r="K10" s="32">
        <f t="shared" si="5"/>
        <v>0</v>
      </c>
      <c r="L10" s="32">
        <f t="shared" si="5"/>
        <v>0</v>
      </c>
      <c r="M10" s="32">
        <f t="shared" si="5"/>
        <v>405.14799999999997</v>
      </c>
      <c r="N10" s="32">
        <f t="shared" si="5"/>
        <v>504.38799999999992</v>
      </c>
      <c r="O10" s="32">
        <f t="shared" si="5"/>
        <v>558.71599999999989</v>
      </c>
      <c r="P10" s="32">
        <f t="shared" si="5"/>
        <v>620.8599999999999</v>
      </c>
      <c r="Q10" s="32">
        <f t="shared" si="5"/>
        <v>608.90899999999999</v>
      </c>
      <c r="R10" s="32">
        <f t="shared" si="5"/>
        <v>692.65900000000011</v>
      </c>
      <c r="S10" s="32">
        <f t="shared" si="5"/>
        <v>637.63700000000006</v>
      </c>
      <c r="T10" s="32">
        <f t="shared" si="5"/>
        <v>655.64200000000005</v>
      </c>
      <c r="U10" s="32">
        <f>U6-U9</f>
        <v>662.33200000000011</v>
      </c>
      <c r="V10" s="32">
        <f>V6-V9</f>
        <v>853.875</v>
      </c>
      <c r="AA10" s="32">
        <f>AA6-AA9</f>
        <v>1541.52</v>
      </c>
      <c r="AB10" s="32">
        <f>AB6-AB9</f>
        <v>2481.1439999999998</v>
      </c>
      <c r="AC10" s="51">
        <f>AC6-AC9</f>
        <v>2809.4860000000003</v>
      </c>
      <c r="AD10" s="56">
        <f>AD6-AD9</f>
        <v>3767.1019360000005</v>
      </c>
      <c r="AE10" s="56">
        <f t="shared" ref="AE10:AM10" si="6">AE6-AE9</f>
        <v>5172.5207352000007</v>
      </c>
      <c r="AF10" s="56">
        <f t="shared" si="6"/>
        <v>7758.7811028000015</v>
      </c>
      <c r="AG10" s="56">
        <f t="shared" si="6"/>
        <v>11470.825395120002</v>
      </c>
      <c r="AH10" s="56">
        <f t="shared" si="6"/>
        <v>16367.985467652003</v>
      </c>
      <c r="AI10" s="56">
        <f t="shared" si="6"/>
        <v>22081.338885606005</v>
      </c>
      <c r="AJ10" s="56">
        <f t="shared" si="6"/>
        <v>26497.606662727208</v>
      </c>
      <c r="AK10" s="56">
        <f t="shared" si="6"/>
        <v>31267.175862018103</v>
      </c>
      <c r="AL10" s="56">
        <f t="shared" si="6"/>
        <v>35331.908724080451</v>
      </c>
      <c r="AM10" s="56">
        <f t="shared" si="6"/>
        <v>38158.461422006891</v>
      </c>
    </row>
    <row r="11" spans="2:39" s="33" customFormat="1" x14ac:dyDescent="0.2">
      <c r="B11" s="33" t="s">
        <v>78</v>
      </c>
      <c r="I11" s="33">
        <v>116.54600000000001</v>
      </c>
      <c r="M11" s="33">
        <v>147.608</v>
      </c>
      <c r="N11" s="33">
        <v>154.72800000000001</v>
      </c>
      <c r="O11" s="33">
        <v>186.22300000000001</v>
      </c>
      <c r="P11" s="33">
        <v>201.91</v>
      </c>
      <c r="Q11" s="33">
        <v>237.94900000000001</v>
      </c>
      <c r="R11" s="33">
        <v>275.47500000000002</v>
      </c>
      <c r="S11" s="33">
        <v>303.37099999999998</v>
      </c>
      <c r="T11" s="33">
        <v>326.90199999999999</v>
      </c>
      <c r="U11" s="33">
        <v>302.476</v>
      </c>
      <c r="V11" s="33">
        <f>V6*0.23</f>
        <v>392.78250000000003</v>
      </c>
      <c r="X11" s="36"/>
      <c r="Y11" s="36"/>
      <c r="Z11" s="36"/>
      <c r="AB11" s="33">
        <f>SUM(O11:R11)</f>
        <v>901.55700000000013</v>
      </c>
      <c r="AC11" s="46">
        <f>SUM(S11:V11)</f>
        <v>1325.5315000000001</v>
      </c>
      <c r="AD11" s="33">
        <f>AD6*0.18</f>
        <v>1303.9968240000001</v>
      </c>
      <c r="AE11" s="33">
        <f>AE6*0.15</f>
        <v>1521.3296280000002</v>
      </c>
      <c r="AF11" s="33">
        <f t="shared" ref="AF11:AG11" si="7">AF6*0.15</f>
        <v>2281.9944420000002</v>
      </c>
      <c r="AG11" s="33">
        <f t="shared" si="7"/>
        <v>3308.8919409000005</v>
      </c>
      <c r="AH11" s="33">
        <f>AH6*0.1</f>
        <v>3088.2991448400007</v>
      </c>
      <c r="AI11" s="33">
        <f t="shared" ref="AI11:AM11" si="8">AI6*0.1</f>
        <v>4014.788888292001</v>
      </c>
      <c r="AJ11" s="33">
        <f t="shared" si="8"/>
        <v>4817.7466659504016</v>
      </c>
      <c r="AK11" s="33">
        <f t="shared" si="8"/>
        <v>5684.9410658214729</v>
      </c>
      <c r="AL11" s="33">
        <f t="shared" si="8"/>
        <v>6423.9834043782648</v>
      </c>
      <c r="AM11" s="33">
        <f t="shared" si="8"/>
        <v>6937.9020767285256</v>
      </c>
    </row>
    <row r="12" spans="2:39" s="33" customFormat="1" x14ac:dyDescent="0.2">
      <c r="B12" s="33" t="s">
        <v>79</v>
      </c>
      <c r="I12" s="33">
        <v>90.387</v>
      </c>
      <c r="M12" s="33">
        <v>143.42699999999999</v>
      </c>
      <c r="N12" s="33">
        <v>159.077</v>
      </c>
      <c r="O12" s="33">
        <v>175.886</v>
      </c>
      <c r="P12" s="33">
        <v>183.55699999999999</v>
      </c>
      <c r="Q12" s="33">
        <v>221.02799999999999</v>
      </c>
      <c r="R12" s="33">
        <v>273.91199999999998</v>
      </c>
      <c r="S12" s="33">
        <v>303.661</v>
      </c>
      <c r="T12" s="33">
        <v>346.66699999999997</v>
      </c>
      <c r="U12" s="33">
        <v>412.35899999999998</v>
      </c>
      <c r="V12" s="33">
        <f>V6*V36</f>
        <v>512.32499999999993</v>
      </c>
      <c r="AB12" s="33">
        <f t="shared" ref="AB12:AB14" si="9">SUM(O12:R12)</f>
        <v>854.38300000000004</v>
      </c>
      <c r="AC12" s="46">
        <f t="shared" ref="AC12:AC19" si="10">SUM(S12:V12)</f>
        <v>1575.0119999999997</v>
      </c>
      <c r="AD12" s="31">
        <f>AD6*AD36</f>
        <v>1811.1067000000003</v>
      </c>
      <c r="AE12" s="31">
        <f t="shared" ref="AE12:AM12" si="11">AE6*AE36</f>
        <v>2028.4395040000004</v>
      </c>
      <c r="AF12" s="31">
        <f t="shared" si="11"/>
        <v>2738.3933304000002</v>
      </c>
      <c r="AG12" s="31">
        <f t="shared" si="11"/>
        <v>3970.6703290800006</v>
      </c>
      <c r="AH12" s="31">
        <f t="shared" si="11"/>
        <v>5558.9384607120001</v>
      </c>
      <c r="AI12" s="31">
        <f t="shared" si="11"/>
        <v>6022.1833324380013</v>
      </c>
      <c r="AJ12" s="31">
        <f t="shared" si="11"/>
        <v>7226.6199989256011</v>
      </c>
      <c r="AK12" s="31">
        <f t="shared" si="11"/>
        <v>8527.4115987322093</v>
      </c>
      <c r="AL12" s="31">
        <f t="shared" si="11"/>
        <v>9635.9751065673954</v>
      </c>
      <c r="AM12" s="31">
        <f t="shared" si="11"/>
        <v>10406.853115092788</v>
      </c>
    </row>
    <row r="13" spans="2:39" s="33" customFormat="1" x14ac:dyDescent="0.2">
      <c r="B13" s="33" t="s">
        <v>80</v>
      </c>
      <c r="I13" s="33">
        <v>38.021999999999998</v>
      </c>
      <c r="M13" s="33">
        <v>51.798999999999999</v>
      </c>
      <c r="N13" s="33">
        <v>65.394999999999996</v>
      </c>
      <c r="O13" s="33">
        <v>67.102000000000004</v>
      </c>
      <c r="P13" s="33">
        <v>77.965999999999994</v>
      </c>
      <c r="Q13" s="33">
        <v>128.72200000000001</v>
      </c>
      <c r="R13" s="33">
        <v>101.054</v>
      </c>
      <c r="S13" s="33">
        <v>108.08799999999999</v>
      </c>
      <c r="T13" s="33">
        <v>129.90100000000001</v>
      </c>
      <c r="U13" s="33">
        <v>255.125</v>
      </c>
      <c r="V13" s="33">
        <f>V6*0.19</f>
        <v>324.47250000000003</v>
      </c>
      <c r="W13" s="36"/>
      <c r="X13" s="36"/>
      <c r="Y13" s="36"/>
      <c r="AB13" s="33">
        <f t="shared" si="9"/>
        <v>374.84399999999994</v>
      </c>
      <c r="AC13" s="46">
        <f t="shared" si="10"/>
        <v>817.58650000000011</v>
      </c>
      <c r="AD13" s="31">
        <f>AD6*0.28</f>
        <v>2028.4395040000004</v>
      </c>
      <c r="AE13" s="31">
        <f>AE6*0.28</f>
        <v>2839.8153056000006</v>
      </c>
      <c r="AF13" s="31">
        <f>AF6*0.225</f>
        <v>3422.9916630000007</v>
      </c>
      <c r="AG13" s="31">
        <f t="shared" ref="AG13:AM13" si="12">AG6*0.225</f>
        <v>4963.3379113500014</v>
      </c>
      <c r="AH13" s="31">
        <f t="shared" si="12"/>
        <v>6948.6730758900012</v>
      </c>
      <c r="AI13" s="31">
        <f t="shared" si="12"/>
        <v>9033.2749986570016</v>
      </c>
      <c r="AJ13" s="31">
        <f t="shared" si="12"/>
        <v>10839.929998388403</v>
      </c>
      <c r="AK13" s="31">
        <f t="shared" si="12"/>
        <v>12791.117398098315</v>
      </c>
      <c r="AL13" s="31">
        <f t="shared" si="12"/>
        <v>14453.962659851095</v>
      </c>
      <c r="AM13" s="31">
        <f t="shared" si="12"/>
        <v>15610.279672639183</v>
      </c>
    </row>
    <row r="14" spans="2:39" s="33" customFormat="1" x14ac:dyDescent="0.2">
      <c r="B14" s="33" t="s">
        <v>81</v>
      </c>
      <c r="I14" s="33">
        <v>7.399</v>
      </c>
      <c r="M14" s="33">
        <v>11.753</v>
      </c>
      <c r="N14" s="33">
        <v>12.647</v>
      </c>
      <c r="O14" s="33">
        <v>10.606</v>
      </c>
      <c r="P14" s="33">
        <v>17.986000000000001</v>
      </c>
      <c r="Q14" s="33">
        <v>25.311</v>
      </c>
      <c r="R14" s="33">
        <v>27.814</v>
      </c>
      <c r="S14" s="33">
        <v>20.492999999999999</v>
      </c>
      <c r="T14" s="33">
        <v>42.38</v>
      </c>
      <c r="U14" s="33">
        <v>37.738</v>
      </c>
      <c r="V14" s="33">
        <f>AVERAGE(Q14:U14)</f>
        <v>30.747199999999999</v>
      </c>
      <c r="AB14" s="33">
        <f t="shared" si="9"/>
        <v>81.716999999999999</v>
      </c>
      <c r="AC14" s="46">
        <f t="shared" si="10"/>
        <v>131.35820000000001</v>
      </c>
      <c r="AD14" s="31">
        <f>AVERAGE(Y14:AC14)</f>
        <v>106.5376</v>
      </c>
      <c r="AE14" s="31">
        <f t="shared" ref="AE14:AM14" si="13">AVERAGE(Z14:AD14)</f>
        <v>106.5376</v>
      </c>
      <c r="AF14" s="31">
        <f t="shared" si="13"/>
        <v>106.5376</v>
      </c>
      <c r="AG14" s="31">
        <f t="shared" si="13"/>
        <v>106.5376</v>
      </c>
      <c r="AH14" s="31">
        <f t="shared" si="13"/>
        <v>111.50172000000001</v>
      </c>
      <c r="AI14" s="31">
        <f t="shared" si="13"/>
        <v>107.530424</v>
      </c>
      <c r="AJ14" s="31">
        <f t="shared" si="13"/>
        <v>107.7289888</v>
      </c>
      <c r="AK14" s="31">
        <f t="shared" si="13"/>
        <v>107.96726655999998</v>
      </c>
      <c r="AL14" s="31">
        <f t="shared" si="13"/>
        <v>108.25319987200001</v>
      </c>
      <c r="AM14" s="31">
        <f t="shared" si="13"/>
        <v>108.59631984640001</v>
      </c>
    </row>
    <row r="15" spans="2:39" s="33" customFormat="1" x14ac:dyDescent="0.2">
      <c r="B15" s="33" t="s">
        <v>82</v>
      </c>
      <c r="C15" s="33">
        <f t="shared" ref="C15:T15" si="14">SUM(C11:C14)</f>
        <v>0</v>
      </c>
      <c r="D15" s="33">
        <f t="shared" si="14"/>
        <v>0</v>
      </c>
      <c r="E15" s="33">
        <f t="shared" si="14"/>
        <v>0</v>
      </c>
      <c r="F15" s="33">
        <f t="shared" si="14"/>
        <v>0</v>
      </c>
      <c r="G15" s="33">
        <f t="shared" si="14"/>
        <v>0</v>
      </c>
      <c r="H15" s="33">
        <f t="shared" si="14"/>
        <v>0</v>
      </c>
      <c r="I15" s="33">
        <f t="shared" si="14"/>
        <v>252.35399999999998</v>
      </c>
      <c r="J15" s="33">
        <f t="shared" si="14"/>
        <v>0</v>
      </c>
      <c r="K15" s="33">
        <f t="shared" si="14"/>
        <v>0</v>
      </c>
      <c r="L15" s="33">
        <f t="shared" si="14"/>
        <v>0</v>
      </c>
      <c r="M15" s="33">
        <f t="shared" si="14"/>
        <v>354.58699999999993</v>
      </c>
      <c r="N15" s="33">
        <f t="shared" si="14"/>
        <v>391.84699999999998</v>
      </c>
      <c r="O15" s="33">
        <f t="shared" si="14"/>
        <v>439.81700000000001</v>
      </c>
      <c r="P15" s="33">
        <f t="shared" si="14"/>
        <v>481.41899999999998</v>
      </c>
      <c r="Q15" s="33">
        <f t="shared" si="14"/>
        <v>613.01</v>
      </c>
      <c r="R15" s="33">
        <f t="shared" si="14"/>
        <v>678.25499999999988</v>
      </c>
      <c r="S15" s="33">
        <f t="shared" si="14"/>
        <v>735.61299999999994</v>
      </c>
      <c r="T15" s="33">
        <f t="shared" si="14"/>
        <v>845.85</v>
      </c>
      <c r="U15" s="33">
        <f>SUM(U11:U14)</f>
        <v>1007.6980000000001</v>
      </c>
      <c r="V15" s="33">
        <f t="shared" ref="V15" si="15">SUM(V11:V14)</f>
        <v>1260.3271999999999</v>
      </c>
      <c r="AB15" s="33">
        <f>SUM(AB11:AB14)</f>
        <v>2212.5010000000002</v>
      </c>
      <c r="AC15" s="46">
        <f>SUM(AC11:AC14)</f>
        <v>3849.4882000000002</v>
      </c>
      <c r="AD15" s="31">
        <f t="shared" ref="AD15:AM15" si="16">SUM(AD11:AD14)</f>
        <v>5250.0806279999997</v>
      </c>
      <c r="AE15" s="31">
        <f t="shared" si="16"/>
        <v>6496.1220376000001</v>
      </c>
      <c r="AF15" s="31">
        <f t="shared" si="16"/>
        <v>8549.9170354000016</v>
      </c>
      <c r="AG15" s="31">
        <f t="shared" si="16"/>
        <v>12349.437781330002</v>
      </c>
      <c r="AH15" s="31">
        <f t="shared" si="16"/>
        <v>15707.412401442001</v>
      </c>
      <c r="AI15" s="31">
        <f t="shared" si="16"/>
        <v>19177.777643387006</v>
      </c>
      <c r="AJ15" s="31">
        <f t="shared" si="16"/>
        <v>22992.025652064407</v>
      </c>
      <c r="AK15" s="31">
        <f t="shared" si="16"/>
        <v>27111.437329212</v>
      </c>
      <c r="AL15" s="31">
        <f t="shared" si="16"/>
        <v>30622.174370668756</v>
      </c>
      <c r="AM15" s="31">
        <f t="shared" si="16"/>
        <v>33063.631184306898</v>
      </c>
    </row>
    <row r="16" spans="2:39" s="32" customFormat="1" x14ac:dyDescent="0.2">
      <c r="B16" s="32" t="s">
        <v>83</v>
      </c>
      <c r="C16" s="32">
        <f t="shared" ref="C16:T16" si="17">C10-C15</f>
        <v>0</v>
      </c>
      <c r="D16" s="32">
        <f t="shared" si="17"/>
        <v>0</v>
      </c>
      <c r="E16" s="32">
        <f t="shared" si="17"/>
        <v>0</v>
      </c>
      <c r="F16" s="32">
        <f t="shared" si="17"/>
        <v>0</v>
      </c>
      <c r="G16" s="32">
        <f t="shared" si="17"/>
        <v>0</v>
      </c>
      <c r="H16" s="32">
        <f t="shared" si="17"/>
        <v>0</v>
      </c>
      <c r="I16" s="32">
        <f t="shared" si="17"/>
        <v>-35.657999999999959</v>
      </c>
      <c r="J16" s="32">
        <f t="shared" si="17"/>
        <v>0</v>
      </c>
      <c r="K16" s="32">
        <f t="shared" si="17"/>
        <v>0</v>
      </c>
      <c r="L16" s="32">
        <f t="shared" si="17"/>
        <v>0</v>
      </c>
      <c r="M16" s="32">
        <f t="shared" si="17"/>
        <v>50.561000000000035</v>
      </c>
      <c r="N16" s="32">
        <f t="shared" si="17"/>
        <v>112.54099999999994</v>
      </c>
      <c r="O16" s="32">
        <f t="shared" si="17"/>
        <v>118.89899999999989</v>
      </c>
      <c r="P16" s="32">
        <f t="shared" si="17"/>
        <v>139.44099999999992</v>
      </c>
      <c r="Q16" s="32">
        <f t="shared" si="17"/>
        <v>-4.1009999999999991</v>
      </c>
      <c r="R16" s="32">
        <f t="shared" si="17"/>
        <v>14.404000000000224</v>
      </c>
      <c r="S16" s="32">
        <f t="shared" si="17"/>
        <v>-97.975999999999885</v>
      </c>
      <c r="T16" s="32">
        <f t="shared" si="17"/>
        <v>-190.20799999999997</v>
      </c>
      <c r="U16" s="32">
        <f>U10-U15</f>
        <v>-345.36599999999999</v>
      </c>
      <c r="V16" s="32">
        <f t="shared" ref="V16" si="18">V10-V15</f>
        <v>-406.45219999999995</v>
      </c>
      <c r="AB16" s="32">
        <f>AB10-AB15</f>
        <v>268.64299999999957</v>
      </c>
      <c r="AC16" s="51">
        <f>AC10-AC15</f>
        <v>-1040.0021999999999</v>
      </c>
      <c r="AD16" s="56">
        <f t="shared" ref="AD16:AM16" si="19">AD10-AD15</f>
        <v>-1482.9786919999992</v>
      </c>
      <c r="AE16" s="56">
        <f t="shared" si="19"/>
        <v>-1323.6013023999994</v>
      </c>
      <c r="AF16" s="56">
        <f t="shared" si="19"/>
        <v>-791.13593260000016</v>
      </c>
      <c r="AG16" s="56">
        <f t="shared" si="19"/>
        <v>-878.61238620999939</v>
      </c>
      <c r="AH16" s="56">
        <f t="shared" si="19"/>
        <v>660.57306621000134</v>
      </c>
      <c r="AI16" s="56">
        <f t="shared" si="19"/>
        <v>2903.5612422189988</v>
      </c>
      <c r="AJ16" s="56">
        <f t="shared" si="19"/>
        <v>3505.5810106628014</v>
      </c>
      <c r="AK16" s="56">
        <f t="shared" si="19"/>
        <v>4155.7385328061027</v>
      </c>
      <c r="AL16" s="56">
        <f t="shared" si="19"/>
        <v>4709.7343534116953</v>
      </c>
      <c r="AM16" s="56">
        <f t="shared" si="19"/>
        <v>5094.8302376999927</v>
      </c>
    </row>
    <row r="17" spans="2:87" s="33" customFormat="1" x14ac:dyDescent="0.2">
      <c r="B17" s="33" t="s">
        <v>84</v>
      </c>
      <c r="I17" s="33">
        <v>11.212</v>
      </c>
      <c r="M17" s="33">
        <v>135.80600000000001</v>
      </c>
      <c r="N17" s="33">
        <v>-2.7879999999999998</v>
      </c>
      <c r="O17" s="33">
        <v>1250.645</v>
      </c>
      <c r="P17" s="33">
        <v>779.87400000000002</v>
      </c>
      <c r="Q17" s="33">
        <v>1344.5530000000001</v>
      </c>
      <c r="R17" s="33">
        <v>-503.12299999999999</v>
      </c>
      <c r="S17" s="33">
        <v>-1554.8810000000001</v>
      </c>
      <c r="T17" s="33">
        <v>-1008.042</v>
      </c>
      <c r="U17" s="33">
        <v>188.233</v>
      </c>
      <c r="V17" s="33">
        <f>AVERAGE(R17:U17)</f>
        <v>-719.45324999999991</v>
      </c>
      <c r="AB17" s="33">
        <f t="shared" ref="AB17" si="20">SUM(O17:R17)</f>
        <v>2871.9490000000001</v>
      </c>
      <c r="AC17" s="46">
        <f t="shared" si="10"/>
        <v>-3094.1432500000001</v>
      </c>
      <c r="AD17" s="31">
        <f>AVERAGE(Y17:AC17)</f>
        <v>-111.09712500000001</v>
      </c>
      <c r="AE17" s="31">
        <f t="shared" ref="AE17:AM17" si="21">AVERAGE(Z17:AD17)</f>
        <v>-111.09712500000001</v>
      </c>
      <c r="AF17" s="31">
        <f t="shared" si="21"/>
        <v>-111.09712500000001</v>
      </c>
      <c r="AG17" s="31">
        <f t="shared" si="21"/>
        <v>-111.09712500000001</v>
      </c>
      <c r="AH17" s="31">
        <f t="shared" si="21"/>
        <v>-707.70635000000016</v>
      </c>
      <c r="AI17" s="31">
        <f t="shared" si="21"/>
        <v>-230.41897000000003</v>
      </c>
      <c r="AJ17" s="31">
        <f t="shared" si="21"/>
        <v>-254.28333900000001</v>
      </c>
      <c r="AK17" s="31">
        <f t="shared" si="21"/>
        <v>-282.92058180000004</v>
      </c>
      <c r="AL17" s="31">
        <f t="shared" si="21"/>
        <v>-317.28527316000003</v>
      </c>
      <c r="AM17" s="31">
        <f t="shared" si="21"/>
        <v>-358.52290279200008</v>
      </c>
    </row>
    <row r="18" spans="2:87" s="33" customFormat="1" x14ac:dyDescent="0.2">
      <c r="B18" s="33" t="s">
        <v>85</v>
      </c>
      <c r="C18" s="33">
        <f t="shared" ref="C18:T18" si="22">C16+C17</f>
        <v>0</v>
      </c>
      <c r="D18" s="33">
        <f t="shared" si="22"/>
        <v>0</v>
      </c>
      <c r="E18" s="33">
        <f t="shared" si="22"/>
        <v>0</v>
      </c>
      <c r="F18" s="33">
        <f t="shared" si="22"/>
        <v>0</v>
      </c>
      <c r="G18" s="33">
        <f t="shared" si="22"/>
        <v>0</v>
      </c>
      <c r="H18" s="33">
        <f t="shared" si="22"/>
        <v>0</v>
      </c>
      <c r="I18" s="33">
        <f t="shared" si="22"/>
        <v>-24.445999999999959</v>
      </c>
      <c r="J18" s="33">
        <f t="shared" si="22"/>
        <v>0</v>
      </c>
      <c r="K18" s="33">
        <f t="shared" si="22"/>
        <v>0</v>
      </c>
      <c r="L18" s="33">
        <f t="shared" si="22"/>
        <v>0</v>
      </c>
      <c r="M18" s="33">
        <f t="shared" si="22"/>
        <v>186.36700000000005</v>
      </c>
      <c r="N18" s="33">
        <f t="shared" si="22"/>
        <v>109.75299999999994</v>
      </c>
      <c r="O18" s="33">
        <f t="shared" si="22"/>
        <v>1369.5439999999999</v>
      </c>
      <c r="P18" s="33">
        <f t="shared" si="22"/>
        <v>919.31499999999994</v>
      </c>
      <c r="Q18" s="33">
        <f t="shared" si="22"/>
        <v>1340.4520000000002</v>
      </c>
      <c r="R18" s="33">
        <f t="shared" si="22"/>
        <v>-488.71899999999977</v>
      </c>
      <c r="S18" s="33">
        <f t="shared" si="22"/>
        <v>-1652.857</v>
      </c>
      <c r="T18" s="33">
        <f t="shared" si="22"/>
        <v>-1198.25</v>
      </c>
      <c r="U18" s="33">
        <f>U16+U17</f>
        <v>-157.13299999999998</v>
      </c>
      <c r="V18" s="33">
        <f t="shared" ref="V18" si="23">V16+V17</f>
        <v>-1125.9054499999997</v>
      </c>
      <c r="AB18" s="33">
        <f>AB16+AB17</f>
        <v>3140.5919999999996</v>
      </c>
      <c r="AC18" s="46">
        <f>AC16+AC17</f>
        <v>-4134.14545</v>
      </c>
      <c r="AD18" s="31">
        <f t="shared" ref="AD18:AM18" si="24">AD16+AD17</f>
        <v>-1594.0758169999992</v>
      </c>
      <c r="AE18" s="31">
        <f t="shared" si="24"/>
        <v>-1434.6984273999994</v>
      </c>
      <c r="AF18" s="31">
        <f t="shared" si="24"/>
        <v>-902.23305760000017</v>
      </c>
      <c r="AG18" s="31">
        <f t="shared" si="24"/>
        <v>-989.70951120999939</v>
      </c>
      <c r="AH18" s="31">
        <f t="shared" si="24"/>
        <v>-47.133283789998814</v>
      </c>
      <c r="AI18" s="31">
        <f t="shared" si="24"/>
        <v>2673.1422722189986</v>
      </c>
      <c r="AJ18" s="31">
        <f t="shared" si="24"/>
        <v>3251.2976716628013</v>
      </c>
      <c r="AK18" s="31">
        <f t="shared" si="24"/>
        <v>3872.8179510061027</v>
      </c>
      <c r="AL18" s="31">
        <f t="shared" si="24"/>
        <v>4392.4490802516957</v>
      </c>
      <c r="AM18" s="31">
        <f t="shared" si="24"/>
        <v>4736.3073349079923</v>
      </c>
    </row>
    <row r="19" spans="2:87" s="33" customFormat="1" x14ac:dyDescent="0.2">
      <c r="B19" s="33" t="s">
        <v>86</v>
      </c>
      <c r="I19" s="33">
        <v>48.338000000000001</v>
      </c>
      <c r="M19" s="33">
        <v>-4.7009999999999996</v>
      </c>
      <c r="N19" s="33">
        <v>-14.119</v>
      </c>
      <c r="O19" s="33">
        <v>111.099</v>
      </c>
      <c r="P19" s="33">
        <v>40.222000000000001</v>
      </c>
      <c r="Q19" s="33">
        <v>192.02</v>
      </c>
      <c r="R19" s="33">
        <v>-117.408</v>
      </c>
      <c r="S19" s="33">
        <v>-178.44900000000001</v>
      </c>
      <c r="T19" s="33">
        <v>5.657</v>
      </c>
      <c r="U19" s="33">
        <v>1.276</v>
      </c>
      <c r="V19" s="33">
        <f>V18*V34</f>
        <v>-281.47636249999994</v>
      </c>
      <c r="AB19" s="33">
        <f t="shared" ref="AB19" si="25">SUM(O19:R19)</f>
        <v>225.93299999999999</v>
      </c>
      <c r="AC19" s="46">
        <f t="shared" si="10"/>
        <v>-452.9923624999999</v>
      </c>
      <c r="AD19" s="31">
        <f>AD18*AD36</f>
        <v>-398.51895424999981</v>
      </c>
      <c r="AE19" s="31">
        <f t="shared" ref="AE19:AM19" si="26">AE18*AE36</f>
        <v>-286.93968547999992</v>
      </c>
      <c r="AF19" s="31">
        <f t="shared" si="26"/>
        <v>-162.40195036800003</v>
      </c>
      <c r="AG19" s="31">
        <f t="shared" si="26"/>
        <v>-178.14771201779988</v>
      </c>
      <c r="AH19" s="31">
        <f t="shared" si="26"/>
        <v>-8.4839910821997861</v>
      </c>
      <c r="AI19" s="31">
        <f t="shared" si="26"/>
        <v>400.97134083284976</v>
      </c>
      <c r="AJ19" s="31">
        <f t="shared" si="26"/>
        <v>487.69465074942019</v>
      </c>
      <c r="AK19" s="31">
        <f t="shared" si="26"/>
        <v>580.92269265091534</v>
      </c>
      <c r="AL19" s="31">
        <f t="shared" si="26"/>
        <v>658.86736203775433</v>
      </c>
      <c r="AM19" s="31">
        <f t="shared" si="26"/>
        <v>710.44610023619884</v>
      </c>
    </row>
    <row r="20" spans="2:87" s="32" customFormat="1" x14ac:dyDescent="0.2">
      <c r="B20" s="32" t="s">
        <v>87</v>
      </c>
      <c r="C20" s="32">
        <f t="shared" ref="C20:T20" si="27">C18-C19</f>
        <v>0</v>
      </c>
      <c r="D20" s="32">
        <f t="shared" si="27"/>
        <v>0</v>
      </c>
      <c r="E20" s="32">
        <f t="shared" si="27"/>
        <v>0</v>
      </c>
      <c r="F20" s="32">
        <f t="shared" si="27"/>
        <v>0</v>
      </c>
      <c r="G20" s="32">
        <f t="shared" si="27"/>
        <v>0</v>
      </c>
      <c r="H20" s="32">
        <f t="shared" si="27"/>
        <v>0</v>
      </c>
      <c r="I20" s="32">
        <f t="shared" si="27"/>
        <v>-72.783999999999963</v>
      </c>
      <c r="J20" s="32">
        <f t="shared" si="27"/>
        <v>0</v>
      </c>
      <c r="K20" s="32">
        <f t="shared" si="27"/>
        <v>0</v>
      </c>
      <c r="L20" s="32">
        <f t="shared" si="27"/>
        <v>0</v>
      </c>
      <c r="M20" s="32">
        <f t="shared" si="27"/>
        <v>191.06800000000004</v>
      </c>
      <c r="N20" s="32">
        <f t="shared" si="27"/>
        <v>123.87199999999994</v>
      </c>
      <c r="O20" s="32">
        <f t="shared" si="27"/>
        <v>1258.4449999999999</v>
      </c>
      <c r="P20" s="32">
        <f t="shared" si="27"/>
        <v>879.09299999999996</v>
      </c>
      <c r="Q20" s="32">
        <f t="shared" si="27"/>
        <v>1148.4320000000002</v>
      </c>
      <c r="R20" s="32">
        <f t="shared" si="27"/>
        <v>-371.31099999999975</v>
      </c>
      <c r="S20" s="32">
        <f t="shared" si="27"/>
        <v>-1474.4079999999999</v>
      </c>
      <c r="T20" s="32">
        <f t="shared" si="27"/>
        <v>-1203.9069999999999</v>
      </c>
      <c r="U20" s="32">
        <f>U18-U19</f>
        <v>-158.40899999999999</v>
      </c>
      <c r="V20" s="32">
        <f t="shared" ref="V20" si="28">V18-V19</f>
        <v>-844.42908749999981</v>
      </c>
      <c r="AB20" s="32">
        <f>AB18-AB19</f>
        <v>2914.6589999999997</v>
      </c>
      <c r="AC20" s="51">
        <f>AC18-AC19</f>
        <v>-3681.1530874999999</v>
      </c>
      <c r="AD20" s="56">
        <f t="shared" ref="AD20:AM20" si="29">AD18-AD19</f>
        <v>-1195.5568627499995</v>
      </c>
      <c r="AE20" s="56">
        <f t="shared" si="29"/>
        <v>-1147.7587419199995</v>
      </c>
      <c r="AF20" s="56">
        <f t="shared" si="29"/>
        <v>-739.83110723200014</v>
      </c>
      <c r="AG20" s="56">
        <f t="shared" si="29"/>
        <v>-811.56179919219949</v>
      </c>
      <c r="AH20" s="56">
        <f t="shared" si="29"/>
        <v>-38.649292707799027</v>
      </c>
      <c r="AI20" s="56">
        <f t="shared" si="29"/>
        <v>2272.1709313861488</v>
      </c>
      <c r="AJ20" s="56">
        <f t="shared" si="29"/>
        <v>2763.603020913381</v>
      </c>
      <c r="AK20" s="56">
        <f t="shared" si="29"/>
        <v>3291.8952583551873</v>
      </c>
      <c r="AL20" s="56">
        <f t="shared" si="29"/>
        <v>3733.5817182139413</v>
      </c>
      <c r="AM20" s="56">
        <f t="shared" si="29"/>
        <v>4025.8612346717937</v>
      </c>
      <c r="AN20" s="32">
        <f>AM20*(1+$AP$23)</f>
        <v>4106.3784593652299</v>
      </c>
      <c r="AO20" s="32">
        <f t="shared" ref="AO20:CI20" si="30">AN20*(1+$AP$23)</f>
        <v>4188.5060285525342</v>
      </c>
      <c r="AP20" s="32">
        <f t="shared" si="30"/>
        <v>4272.2761491235851</v>
      </c>
      <c r="AQ20" s="32">
        <f t="shared" si="30"/>
        <v>4357.7216721060568</v>
      </c>
      <c r="AR20" s="32">
        <f t="shared" si="30"/>
        <v>4444.8761055481782</v>
      </c>
      <c r="AS20" s="32">
        <f t="shared" si="30"/>
        <v>4533.7736276591422</v>
      </c>
      <c r="AT20" s="32">
        <f t="shared" si="30"/>
        <v>4624.449100212325</v>
      </c>
      <c r="AU20" s="32">
        <f t="shared" si="30"/>
        <v>4716.9380822165713</v>
      </c>
      <c r="AV20" s="32">
        <f t="shared" si="30"/>
        <v>4811.2768438609028</v>
      </c>
      <c r="AW20" s="32">
        <f t="shared" si="30"/>
        <v>4907.5023807381212</v>
      </c>
      <c r="AX20" s="32">
        <f t="shared" si="30"/>
        <v>5005.6524283528834</v>
      </c>
      <c r="AY20" s="32">
        <f t="shared" si="30"/>
        <v>5105.7654769199407</v>
      </c>
      <c r="AZ20" s="32">
        <f t="shared" si="30"/>
        <v>5207.8807864583396</v>
      </c>
      <c r="BA20" s="32">
        <f t="shared" si="30"/>
        <v>5312.0384021875061</v>
      </c>
      <c r="BB20" s="32">
        <f t="shared" si="30"/>
        <v>5418.2791702312561</v>
      </c>
      <c r="BC20" s="32">
        <f t="shared" si="30"/>
        <v>5526.644753635881</v>
      </c>
      <c r="BD20" s="32">
        <f t="shared" si="30"/>
        <v>5637.177648708599</v>
      </c>
      <c r="BE20" s="32">
        <f t="shared" si="30"/>
        <v>5749.9212016827714</v>
      </c>
      <c r="BF20" s="32">
        <f t="shared" si="30"/>
        <v>5864.9196257164267</v>
      </c>
      <c r="BG20" s="32">
        <f t="shared" si="30"/>
        <v>5982.2180182307557</v>
      </c>
      <c r="BH20" s="32">
        <f t="shared" si="30"/>
        <v>6101.8623785953705</v>
      </c>
      <c r="BI20" s="32">
        <f t="shared" si="30"/>
        <v>6223.8996261672783</v>
      </c>
      <c r="BJ20" s="32">
        <f t="shared" si="30"/>
        <v>6348.3776186906243</v>
      </c>
      <c r="BK20" s="32">
        <f t="shared" si="30"/>
        <v>6475.3451710644367</v>
      </c>
      <c r="BL20" s="32">
        <f t="shared" si="30"/>
        <v>6604.852074485726</v>
      </c>
      <c r="BM20" s="32">
        <f t="shared" si="30"/>
        <v>6736.9491159754407</v>
      </c>
      <c r="BN20" s="32">
        <f t="shared" si="30"/>
        <v>6871.6880982949497</v>
      </c>
      <c r="BO20" s="32">
        <f t="shared" si="30"/>
        <v>7009.1218602608487</v>
      </c>
      <c r="BP20" s="32">
        <f t="shared" si="30"/>
        <v>7149.3042974660657</v>
      </c>
      <c r="BQ20" s="32">
        <f t="shared" si="30"/>
        <v>7292.2903834153867</v>
      </c>
      <c r="BR20" s="32">
        <f t="shared" si="30"/>
        <v>7438.1361910836949</v>
      </c>
      <c r="BS20" s="32">
        <f t="shared" si="30"/>
        <v>7586.8989149053687</v>
      </c>
      <c r="BT20" s="32">
        <f t="shared" si="30"/>
        <v>7738.6368932034766</v>
      </c>
      <c r="BU20" s="32">
        <f t="shared" si="30"/>
        <v>7893.4096310675459</v>
      </c>
      <c r="BV20" s="32">
        <f t="shared" si="30"/>
        <v>8051.2778236888971</v>
      </c>
      <c r="BW20" s="32">
        <f t="shared" si="30"/>
        <v>8212.3033801626752</v>
      </c>
      <c r="BX20" s="32">
        <f t="shared" si="30"/>
        <v>8376.5494477659286</v>
      </c>
      <c r="BY20" s="32">
        <f t="shared" si="30"/>
        <v>8544.0804367212477</v>
      </c>
      <c r="BZ20" s="32">
        <f t="shared" si="30"/>
        <v>8714.9620454556734</v>
      </c>
      <c r="CA20" s="32">
        <f t="shared" si="30"/>
        <v>8889.2612863647864</v>
      </c>
      <c r="CB20" s="32">
        <f t="shared" si="30"/>
        <v>9067.0465120920817</v>
      </c>
      <c r="CC20" s="32">
        <f t="shared" si="30"/>
        <v>9248.3874423339239</v>
      </c>
      <c r="CD20" s="32">
        <f t="shared" si="30"/>
        <v>9433.3551911806026</v>
      </c>
      <c r="CE20" s="32">
        <f t="shared" si="30"/>
        <v>9622.0222950042153</v>
      </c>
      <c r="CF20" s="32">
        <f t="shared" si="30"/>
        <v>9814.4627409043005</v>
      </c>
      <c r="CG20" s="32">
        <f t="shared" si="30"/>
        <v>10010.751995722387</v>
      </c>
      <c r="CH20" s="32">
        <f t="shared" si="30"/>
        <v>10210.967035636835</v>
      </c>
      <c r="CI20" s="32">
        <f t="shared" si="30"/>
        <v>10415.186376349571</v>
      </c>
    </row>
    <row r="21" spans="2:87" x14ac:dyDescent="0.2">
      <c r="B21" s="1" t="s">
        <v>88</v>
      </c>
      <c r="I21" s="36">
        <f t="shared" ref="I21" si="31">I20/I22</f>
        <v>-0.64361068850382475</v>
      </c>
      <c r="M21" s="36">
        <f t="shared" ref="M21:P21" si="32">M20/M22</f>
        <v>1.5854754556005637</v>
      </c>
      <c r="N21" s="36">
        <f t="shared" si="32"/>
        <v>1.0138395664853699</v>
      </c>
      <c r="O21" s="36">
        <f t="shared" si="32"/>
        <v>10.211033185076877</v>
      </c>
      <c r="P21" s="36">
        <f t="shared" si="32"/>
        <v>7.058293271184958</v>
      </c>
      <c r="Q21" s="36">
        <f t="shared" ref="Q21:V21" si="33">Q20/Q22</f>
        <v>9.1822067160645613</v>
      </c>
      <c r="R21" s="29">
        <f t="shared" si="33"/>
        <v>-2.9531293873360611</v>
      </c>
      <c r="S21" s="29">
        <f t="shared" si="33"/>
        <v>-11.700437476856566</v>
      </c>
      <c r="T21" s="29">
        <f t="shared" si="33"/>
        <v>-0.95395869419321089</v>
      </c>
      <c r="U21" s="29">
        <f t="shared" si="33"/>
        <v>-0.12478797234804595</v>
      </c>
      <c r="V21" s="29">
        <f t="shared" si="33"/>
        <v>-0.66520585080920691</v>
      </c>
      <c r="X21" s="33"/>
      <c r="AB21" s="33">
        <f>AB20/AB22</f>
        <v>23.181013077887648</v>
      </c>
      <c r="AC21" s="59">
        <f>AC20/AC22</f>
        <v>-2.8998581500538099</v>
      </c>
      <c r="AD21" s="60">
        <f>AD20/AD22</f>
        <v>-0.94180959875615344</v>
      </c>
      <c r="AE21" s="60">
        <f t="shared" ref="AE21:AM21" si="34">AE20/AE22</f>
        <v>-0.90415624206289358</v>
      </c>
      <c r="AF21" s="60">
        <f t="shared" si="34"/>
        <v>-0.5828079449494098</v>
      </c>
      <c r="AG21" s="60">
        <f t="shared" si="34"/>
        <v>-0.63931437832652571</v>
      </c>
      <c r="AH21" s="60">
        <f t="shared" si="34"/>
        <v>-3.0446293264223368E-2</v>
      </c>
      <c r="AI21" s="60">
        <f t="shared" si="34"/>
        <v>1.7899210483990717</v>
      </c>
      <c r="AJ21" s="60">
        <f t="shared" si="34"/>
        <v>2.177050655926843</v>
      </c>
      <c r="AK21" s="60">
        <f t="shared" si="34"/>
        <v>2.5932171434217168</v>
      </c>
      <c r="AL21" s="60">
        <f t="shared" si="34"/>
        <v>2.9411592284002248</v>
      </c>
      <c r="AM21" s="60">
        <f t="shared" si="34"/>
        <v>3.1714047840040274</v>
      </c>
    </row>
    <row r="22" spans="2:87" x14ac:dyDescent="0.2">
      <c r="B22" s="1" t="s">
        <v>4</v>
      </c>
      <c r="C22" s="33"/>
      <c r="D22" s="33"/>
      <c r="E22" s="33"/>
      <c r="F22" s="33"/>
      <c r="G22" s="33"/>
      <c r="H22" s="33"/>
      <c r="I22" s="33">
        <v>113.086997</v>
      </c>
      <c r="J22" s="33"/>
      <c r="K22" s="33"/>
      <c r="L22" s="33"/>
      <c r="M22" s="33">
        <v>120.511484</v>
      </c>
      <c r="N22" s="33">
        <v>122.181067</v>
      </c>
      <c r="O22" s="33">
        <v>123.24365</v>
      </c>
      <c r="P22" s="33">
        <f>1245.47531/10</f>
        <v>124.54753100000001</v>
      </c>
      <c r="Q22" s="33">
        <f>1250.7146/10</f>
        <v>125.07146</v>
      </c>
      <c r="R22" s="33">
        <v>125.73475500000001</v>
      </c>
      <c r="S22" s="33">
        <v>126.01306599999999</v>
      </c>
      <c r="T22" s="33">
        <v>1262.011665</v>
      </c>
      <c r="U22" s="33">
        <v>1269.4252260000001</v>
      </c>
      <c r="V22" s="33">
        <f>U22</f>
        <v>1269.4252260000001</v>
      </c>
      <c r="X22" s="33"/>
      <c r="AB22" s="33">
        <f>R22</f>
        <v>125.73475500000001</v>
      </c>
      <c r="AC22" s="46">
        <f>V22</f>
        <v>1269.4252260000001</v>
      </c>
      <c r="AD22" s="31">
        <f>AC22</f>
        <v>1269.4252260000001</v>
      </c>
      <c r="AE22" s="31">
        <f t="shared" ref="AE22:AM22" si="35">AD22</f>
        <v>1269.4252260000001</v>
      </c>
      <c r="AF22" s="31">
        <f t="shared" si="35"/>
        <v>1269.4252260000001</v>
      </c>
      <c r="AG22" s="31">
        <f t="shared" si="35"/>
        <v>1269.4252260000001</v>
      </c>
      <c r="AH22" s="31">
        <f t="shared" si="35"/>
        <v>1269.4252260000001</v>
      </c>
      <c r="AI22" s="31">
        <f t="shared" si="35"/>
        <v>1269.4252260000001</v>
      </c>
      <c r="AJ22" s="31">
        <f t="shared" si="35"/>
        <v>1269.4252260000001</v>
      </c>
      <c r="AK22" s="31">
        <f t="shared" si="35"/>
        <v>1269.4252260000001</v>
      </c>
      <c r="AL22" s="31">
        <f t="shared" si="35"/>
        <v>1269.4252260000001</v>
      </c>
      <c r="AM22" s="31">
        <f t="shared" si="35"/>
        <v>1269.4252260000001</v>
      </c>
    </row>
    <row r="23" spans="2:87" x14ac:dyDescent="0.2">
      <c r="AO23" s="61" t="s">
        <v>145</v>
      </c>
      <c r="AP23" s="67">
        <v>0.02</v>
      </c>
    </row>
    <row r="24" spans="2:87" s="2" customFormat="1" x14ac:dyDescent="0.2">
      <c r="B24" s="2" t="s">
        <v>89</v>
      </c>
      <c r="M24" s="34">
        <f t="shared" ref="M24" si="36">M6/I6-1</f>
        <v>0.96492400499805386</v>
      </c>
      <c r="Q24" s="34">
        <f t="shared" ref="Q24" si="37">Q6/M6-1</f>
        <v>0.46433760530619428</v>
      </c>
      <c r="R24" s="34">
        <f t="shared" ref="R24" si="38">R6/N6-1</f>
        <v>0.4114369405488556</v>
      </c>
      <c r="S24" s="34">
        <f t="shared" ref="S24" si="39">S6/O6-1</f>
        <v>0.2174446491012465</v>
      </c>
      <c r="T24" s="34">
        <f t="shared" ref="T24" si="40">T6/P6-1</f>
        <v>0.15687952512182401</v>
      </c>
      <c r="U24" s="34">
        <f>U6/Q6-1</f>
        <v>0.2157616530514177</v>
      </c>
      <c r="V24" s="34">
        <f>V6/R6-1</f>
        <v>0.23747847863515403</v>
      </c>
      <c r="AB24" s="34">
        <f>AB6/AA6-1</f>
        <v>0.57428577182862139</v>
      </c>
      <c r="AC24" s="53">
        <f>AC6/AB6-1</f>
        <v>0.2083282739096799</v>
      </c>
      <c r="AD24" s="57">
        <v>0.3</v>
      </c>
      <c r="AE24" s="57">
        <v>0.4</v>
      </c>
      <c r="AF24" s="57">
        <v>0.5</v>
      </c>
      <c r="AG24" s="57">
        <v>0.45</v>
      </c>
      <c r="AH24" s="57">
        <v>0.4</v>
      </c>
      <c r="AI24" s="57">
        <v>0.3</v>
      </c>
      <c r="AJ24" s="57">
        <v>0.2</v>
      </c>
      <c r="AK24" s="57">
        <v>0.18</v>
      </c>
      <c r="AL24" s="57">
        <v>0.13</v>
      </c>
      <c r="AM24" s="57">
        <v>0.08</v>
      </c>
      <c r="AO24" s="62" t="s">
        <v>146</v>
      </c>
      <c r="AP24" s="64">
        <v>7.0000000000000007E-2</v>
      </c>
    </row>
    <row r="25" spans="2:87" x14ac:dyDescent="0.2">
      <c r="B25" s="27" t="s">
        <v>90</v>
      </c>
      <c r="M25" s="35">
        <f t="shared" ref="M25:M26" si="41">M4/I4-1</f>
        <v>0.48132892853476039</v>
      </c>
      <c r="Q25" s="35">
        <f t="shared" ref="Q25:Q26" si="42">Q4/M4-1</f>
        <v>0.37074455506902493</v>
      </c>
      <c r="R25" s="35">
        <f t="shared" ref="R25:R26" si="43">R4/N4-1</f>
        <v>0.25682794159748079</v>
      </c>
      <c r="S25" s="35">
        <f t="shared" ref="S25:S26" si="44">S4/O4-1</f>
        <v>7.5090198670953567E-2</v>
      </c>
      <c r="T25" s="35">
        <f t="shared" ref="T25:T26" si="45">T4/P4-1</f>
        <v>9.6356776778154352E-2</v>
      </c>
      <c r="U25" s="35">
        <f>U4/Q4-1</f>
        <v>0.11925058297244551</v>
      </c>
      <c r="V25" s="35"/>
      <c r="AO25" s="62" t="s">
        <v>147</v>
      </c>
      <c r="AP25" s="68">
        <f>NPV(AP24,AC20:CI20)</f>
        <v>37129.233000094056</v>
      </c>
    </row>
    <row r="26" spans="2:87" x14ac:dyDescent="0.2">
      <c r="B26" s="27" t="s">
        <v>91</v>
      </c>
      <c r="M26" s="35">
        <f t="shared" si="41"/>
        <v>1.3208400933437048</v>
      </c>
      <c r="Q26" s="35">
        <f t="shared" si="42"/>
        <v>0.50830347173410528</v>
      </c>
      <c r="R26" s="35">
        <f t="shared" si="43"/>
        <v>0.47330675465126948</v>
      </c>
      <c r="S26" s="35">
        <f t="shared" si="44"/>
        <v>0.28578700113478828</v>
      </c>
      <c r="T26" s="35">
        <f t="shared" si="45"/>
        <v>0.18264205153284241</v>
      </c>
      <c r="U26" s="35">
        <f>U5/Q5-1</f>
        <v>0.25696352656146026</v>
      </c>
      <c r="V26" s="35"/>
      <c r="AO26" s="62" t="s">
        <v>8</v>
      </c>
      <c r="AP26" s="69">
        <f>Main!C11</f>
        <v>4028.7079999999996</v>
      </c>
    </row>
    <row r="27" spans="2:87" x14ac:dyDescent="0.2">
      <c r="B27" s="1" t="s">
        <v>92</v>
      </c>
      <c r="M27" s="35"/>
      <c r="N27" s="35">
        <f t="shared" ref="N27" si="46">N6/M6-1</f>
        <v>0.27409125559515513</v>
      </c>
      <c r="O27" s="35">
        <f t="shared" ref="M27:Q27" si="47">O6/N6-1</f>
        <v>1.1151180677150707E-2</v>
      </c>
      <c r="P27" s="35">
        <f t="shared" si="47"/>
        <v>0.13230000192181834</v>
      </c>
      <c r="Q27" s="35">
        <f t="shared" si="47"/>
        <v>3.8367226616762284E-3</v>
      </c>
      <c r="R27" s="35">
        <f t="shared" ref="R27:S27" si="48">R6/Q6-1</f>
        <v>0.22806343104276805</v>
      </c>
      <c r="S27" s="35">
        <f t="shared" si="48"/>
        <v>-0.12782458855788015</v>
      </c>
      <c r="T27" s="35">
        <f>T6/S6-1</f>
        <v>7.5970632000219362E-2</v>
      </c>
      <c r="U27" s="35">
        <f>U6/T6-1</f>
        <v>5.4929374092225647E-2</v>
      </c>
      <c r="V27" s="35">
        <v>0.25</v>
      </c>
      <c r="AO27" s="62" t="s">
        <v>148</v>
      </c>
      <c r="AP27" s="68">
        <f>AP25-AP26</f>
        <v>33100.525000094058</v>
      </c>
    </row>
    <row r="28" spans="2:87" x14ac:dyDescent="0.2">
      <c r="AO28" s="3" t="s">
        <v>149</v>
      </c>
      <c r="AP28" s="70">
        <f>AP27/Main!C7</f>
        <v>26.075206575494708</v>
      </c>
    </row>
    <row r="29" spans="2:87" s="34" customFormat="1" x14ac:dyDescent="0.2">
      <c r="B29" s="34" t="s">
        <v>93</v>
      </c>
      <c r="M29" s="34">
        <f t="shared" ref="M29:N29" si="49">M10/M6</f>
        <v>0.52794547859344154</v>
      </c>
      <c r="N29" s="34">
        <f t="shared" ref="N29:O29" si="50">N10/N6</f>
        <v>0.51586918457183062</v>
      </c>
      <c r="O29" s="34">
        <f t="shared" si="50"/>
        <v>0.56513194294829194</v>
      </c>
      <c r="P29" s="34">
        <f t="shared" ref="P29" si="51">P10/P6</f>
        <v>0.55461411681681538</v>
      </c>
      <c r="Q29" s="34">
        <f>Q10/Q6</f>
        <v>0.54185932689056182</v>
      </c>
      <c r="R29" s="34">
        <f t="shared" ref="R29" si="52">R10/R6</f>
        <v>0.501918082584071</v>
      </c>
      <c r="S29" s="34">
        <f t="shared" ref="S29" si="53">S10/S6</f>
        <v>0.52976471868683139</v>
      </c>
      <c r="T29" s="34">
        <f t="shared" ref="T29" si="54">T10/T6</f>
        <v>0.50626262969446278</v>
      </c>
      <c r="U29" s="34">
        <f>U10/U6</f>
        <v>0.48479871175523354</v>
      </c>
      <c r="V29" s="34">
        <v>0.5</v>
      </c>
      <c r="AB29" s="34">
        <f>AB10/AB6</f>
        <v>0.53799251320943231</v>
      </c>
      <c r="AC29" s="53">
        <f>AC10/AC6</f>
        <v>0.50415745797859401</v>
      </c>
      <c r="AD29" s="57">
        <v>0.52</v>
      </c>
      <c r="AE29" s="57">
        <v>0.51</v>
      </c>
      <c r="AF29" s="57">
        <v>0.51</v>
      </c>
      <c r="AG29" s="57">
        <v>0.52</v>
      </c>
      <c r="AH29" s="57">
        <v>0.53</v>
      </c>
      <c r="AI29" s="57">
        <v>0.55000000000000004</v>
      </c>
      <c r="AJ29" s="57">
        <v>0.55000000000000004</v>
      </c>
      <c r="AK29" s="57">
        <v>0.55000000000000004</v>
      </c>
      <c r="AL29" s="57">
        <v>0.55000000000000004</v>
      </c>
      <c r="AM29" s="57">
        <v>0.55000000000000004</v>
      </c>
      <c r="AO29" s="63" t="s">
        <v>150</v>
      </c>
      <c r="AP29" s="71">
        <f>Main!C6</f>
        <v>52.93</v>
      </c>
    </row>
    <row r="30" spans="2:87" s="41" customFormat="1" x14ac:dyDescent="0.2">
      <c r="B30" s="40" t="s">
        <v>110</v>
      </c>
      <c r="M30" s="41">
        <f t="shared" ref="M30:N30" si="55">(M4-M7)/M4</f>
        <v>0.78729910222852806</v>
      </c>
      <c r="N30" s="41">
        <f t="shared" ref="N30:O30" si="56">(N4-N7)/N4</f>
        <v>0.78796879473232173</v>
      </c>
      <c r="O30" s="41">
        <f t="shared" si="56"/>
        <v>0.81794368858772426</v>
      </c>
      <c r="P30" s="41">
        <f t="shared" ref="P30" si="57">(P4-P7)/P4</f>
        <v>0.81143021269338833</v>
      </c>
      <c r="Q30" s="41">
        <f>(Q4-Q7)/Q4</f>
        <v>0.79966270879931467</v>
      </c>
      <c r="R30" s="41">
        <f t="shared" ref="R30:R31" si="58">(R4-R7)/R4</f>
        <v>0.78477995945422663</v>
      </c>
      <c r="S30" s="41">
        <f t="shared" ref="S30" si="59">(S4-S7)/S4</f>
        <v>0.77507606718857414</v>
      </c>
      <c r="T30" s="41">
        <f t="shared" ref="T30" si="60">(T4-T7)/T4</f>
        <v>0.76739083568249356</v>
      </c>
      <c r="U30" s="41">
        <f>(U4-U7)/U4</f>
        <v>0.78125755711518174</v>
      </c>
      <c r="AB30" s="41">
        <f>(AB4-AB7)/AB4</f>
        <v>0.80306615194132025</v>
      </c>
      <c r="AC30" s="47"/>
      <c r="AO30" s="65" t="s">
        <v>151</v>
      </c>
      <c r="AP30" s="66">
        <f>AP28/AP29-1</f>
        <v>-0.50736431937474569</v>
      </c>
    </row>
    <row r="31" spans="2:87" s="41" customFormat="1" x14ac:dyDescent="0.2">
      <c r="B31" s="40" t="s">
        <v>111</v>
      </c>
      <c r="M31" s="41">
        <f t="shared" ref="M31:N31" si="61">(M5-M8)/M5</f>
        <v>0.406112642229632</v>
      </c>
      <c r="N31" s="41">
        <f t="shared" ref="N31:O31" si="62">(N5-N8)/N5</f>
        <v>0.40698320502245439</v>
      </c>
      <c r="O31" s="41">
        <f t="shared" si="62"/>
        <v>0.4437606105699991</v>
      </c>
      <c r="P31" s="41">
        <f t="shared" ref="P31" si="63">(P5-P8)/P5</f>
        <v>0.44529602347403491</v>
      </c>
      <c r="Q31" s="41">
        <f>(Q5-Q8)/Q5</f>
        <v>0.43179959671480017</v>
      </c>
      <c r="R31" s="41">
        <f t="shared" si="58"/>
        <v>0.40535722617066611</v>
      </c>
      <c r="S31" s="41">
        <f t="shared" ref="S31" si="64">(S5-S8)/S5</f>
        <v>0.43129280373331225</v>
      </c>
      <c r="T31" s="41">
        <f t="shared" ref="T31" si="65">(T5-T8)/T5</f>
        <v>0.40321875471129204</v>
      </c>
      <c r="U31" s="41">
        <f>(U5-U8)/U5</f>
        <v>0.37210260844793264</v>
      </c>
      <c r="AB31" s="41">
        <f>(AB5-AB8)/AB5</f>
        <v>0.42916395730018025</v>
      </c>
      <c r="AC31" s="47"/>
    </row>
    <row r="32" spans="2:87" s="35" customFormat="1" x14ac:dyDescent="0.2">
      <c r="B32" s="35" t="s">
        <v>94</v>
      </c>
      <c r="M32" s="35">
        <f t="shared" ref="M32:N32" si="66">M16/M6</f>
        <v>6.5885679660674656E-2</v>
      </c>
      <c r="N32" s="35">
        <f t="shared" ref="N32:O32" si="67">N16/N6</f>
        <v>0.11510272627599857</v>
      </c>
      <c r="O32" s="35">
        <f t="shared" si="67"/>
        <v>0.12026436129376804</v>
      </c>
      <c r="P32" s="35">
        <f t="shared" ref="P32" si="68">P16/P6</f>
        <v>0.12456261808306789</v>
      </c>
      <c r="Q32" s="35">
        <f>Q16/Q6</f>
        <v>-3.6494206844999723E-3</v>
      </c>
      <c r="R32" s="35">
        <f t="shared" ref="R32" si="69">R16/R6</f>
        <v>1.0437499637687623E-2</v>
      </c>
      <c r="S32" s="35">
        <f t="shared" ref="S32" si="70">S16/S6</f>
        <v>-8.1400903771363525E-2</v>
      </c>
      <c r="T32" s="35">
        <f t="shared" ref="T32" si="71">T16/T6</f>
        <v>-0.14687161937295712</v>
      </c>
      <c r="U32" s="35">
        <f>U16/U6</f>
        <v>-0.2527931488801054</v>
      </c>
      <c r="V32" s="35">
        <f t="shared" ref="V32" si="72">V16/V6</f>
        <v>-0.23800450885668273</v>
      </c>
      <c r="AB32" s="35">
        <f>AB16/AB6</f>
        <v>5.8250517795872113E-2</v>
      </c>
      <c r="AC32" s="47">
        <f>AC16/AC6</f>
        <v>-0.18662661620102225</v>
      </c>
      <c r="AD32" s="41">
        <f>AD16/AD6</f>
        <v>-0.2047061462474849</v>
      </c>
      <c r="AE32" s="41">
        <f t="shared" ref="AE32:AM32" si="73">AE16/AE6</f>
        <v>-0.13050439017677495</v>
      </c>
      <c r="AF32" s="41">
        <f t="shared" si="73"/>
        <v>-5.2002926784516686E-2</v>
      </c>
      <c r="AG32" s="41">
        <f t="shared" si="73"/>
        <v>-3.982960467897699E-2</v>
      </c>
      <c r="AH32" s="41">
        <f t="shared" si="73"/>
        <v>2.1389542762193282E-2</v>
      </c>
      <c r="AI32" s="41">
        <f t="shared" si="73"/>
        <v>7.2321641884743076E-2</v>
      </c>
      <c r="AJ32" s="41">
        <f t="shared" si="73"/>
        <v>7.2763913375491956E-2</v>
      </c>
      <c r="AK32" s="41">
        <f t="shared" si="73"/>
        <v>7.3100819950287374E-2</v>
      </c>
      <c r="AL32" s="41">
        <f t="shared" si="73"/>
        <v>7.3314858662333671E-2</v>
      </c>
      <c r="AM32" s="41">
        <f t="shared" si="73"/>
        <v>7.3434738359731813E-2</v>
      </c>
    </row>
    <row r="33" spans="2:40" s="35" customFormat="1" x14ac:dyDescent="0.2">
      <c r="B33" s="35" t="s">
        <v>95</v>
      </c>
      <c r="M33" s="35">
        <f t="shared" ref="M33:N33" si="74">M20/M6</f>
        <v>0.24897935249314254</v>
      </c>
      <c r="N33" s="35">
        <f t="shared" ref="N33:O33" si="75">N20/N6</f>
        <v>0.12669164934788651</v>
      </c>
      <c r="O33" s="35">
        <f t="shared" si="75"/>
        <v>1.272896190450181</v>
      </c>
      <c r="P33" s="35">
        <f t="shared" ref="P33" si="76">P20/P6</f>
        <v>0.78529360531334724</v>
      </c>
      <c r="Q33" s="35">
        <f>Q20/Q6</f>
        <v>1.0219730542652217</v>
      </c>
      <c r="R33" s="35">
        <f t="shared" ref="R33" si="77">R20/R6</f>
        <v>-0.26906126270267744</v>
      </c>
      <c r="S33" s="35">
        <f t="shared" ref="S33" si="78">S20/S6</f>
        <v>-1.2249749298576047</v>
      </c>
      <c r="T33" s="35">
        <f t="shared" ref="T33" si="79">T20/T6</f>
        <v>-0.9296126906567479</v>
      </c>
      <c r="U33" s="35">
        <f>U20/U6</f>
        <v>-0.11594861660079051</v>
      </c>
      <c r="V33" s="35">
        <f t="shared" ref="V33" si="80">V20/V6</f>
        <v>-0.49446879666227483</v>
      </c>
      <c r="AB33" s="35">
        <f>AB20/AB6</f>
        <v>0.63199262943162138</v>
      </c>
      <c r="AC33" s="47"/>
      <c r="AD33" s="35">
        <f t="shared" ref="AD33:AM33" si="81">AD20/AD6</f>
        <v>-0.16503125723487183</v>
      </c>
      <c r="AE33" s="35">
        <f t="shared" si="81"/>
        <v>-0.11316667217894996</v>
      </c>
      <c r="AF33" s="35">
        <f t="shared" si="81"/>
        <v>-4.8630559322282524E-2</v>
      </c>
      <c r="AG33" s="35">
        <f t="shared" si="81"/>
        <v>-3.6790040911918953E-2</v>
      </c>
      <c r="AH33" s="35">
        <f t="shared" si="81"/>
        <v>-1.2514750318917496E-3</v>
      </c>
      <c r="AI33" s="35">
        <f t="shared" si="81"/>
        <v>5.6595028894602516E-2</v>
      </c>
      <c r="AJ33" s="35">
        <f t="shared" si="81"/>
        <v>5.7362979262592727E-2</v>
      </c>
      <c r="AK33" s="35">
        <f t="shared" si="81"/>
        <v>5.7905530070424906E-2</v>
      </c>
      <c r="AL33" s="35">
        <f t="shared" si="81"/>
        <v>5.8119417239921881E-2</v>
      </c>
      <c r="AM33" s="35">
        <f t="shared" si="81"/>
        <v>5.8027069136296232E-2</v>
      </c>
    </row>
    <row r="34" spans="2:40" s="35" customFormat="1" x14ac:dyDescent="0.2">
      <c r="B34" s="35" t="s">
        <v>96</v>
      </c>
      <c r="M34" s="35">
        <f t="shared" ref="M34:N34" si="82">M19/M18</f>
        <v>-2.5224422778710814E-2</v>
      </c>
      <c r="N34" s="35">
        <f t="shared" ref="N34:O34" si="83">N19/N18</f>
        <v>-0.12864340838063659</v>
      </c>
      <c r="O34" s="35">
        <f t="shared" si="83"/>
        <v>8.1121161496089222E-2</v>
      </c>
      <c r="P34" s="35">
        <f t="shared" ref="P34" si="84">P19/P18</f>
        <v>4.3752141540168502E-2</v>
      </c>
      <c r="Q34" s="35">
        <f>Q19/Q18</f>
        <v>0.14325018725027078</v>
      </c>
      <c r="R34" s="35">
        <f t="shared" ref="R34" si="85">R19/R18</f>
        <v>0.24023620935547843</v>
      </c>
      <c r="S34" s="35">
        <f t="shared" ref="S34" si="86">S19/S18</f>
        <v>0.10796396784476819</v>
      </c>
      <c r="T34" s="35">
        <f t="shared" ref="T34" si="87">T19/T18</f>
        <v>-4.7210515334863345E-3</v>
      </c>
      <c r="U34" s="35">
        <f>U19/U18</f>
        <v>-8.1205093774064027E-3</v>
      </c>
      <c r="V34" s="35">
        <v>0.25</v>
      </c>
      <c r="AB34" s="35">
        <f>AB19/AB18</f>
        <v>7.1939621574531182E-2</v>
      </c>
      <c r="AC34" s="47"/>
      <c r="AD34" s="41">
        <v>7.0000000000000007E-2</v>
      </c>
      <c r="AE34" s="41">
        <v>0.1</v>
      </c>
      <c r="AF34" s="41">
        <v>0.15</v>
      </c>
      <c r="AG34" s="41">
        <v>0.25</v>
      </c>
      <c r="AH34" s="41">
        <v>0.25</v>
      </c>
      <c r="AI34" s="41">
        <v>0.25</v>
      </c>
      <c r="AJ34" s="41">
        <v>0.25</v>
      </c>
      <c r="AK34" s="41">
        <v>0.25</v>
      </c>
      <c r="AL34" s="41">
        <v>0.25</v>
      </c>
      <c r="AM34" s="41">
        <v>0.25</v>
      </c>
      <c r="AN34" s="41"/>
    </row>
    <row r="36" spans="2:40" s="35" customFormat="1" x14ac:dyDescent="0.2">
      <c r="B36" s="35" t="s">
        <v>97</v>
      </c>
      <c r="M36" s="35">
        <f t="shared" ref="M36:N36" si="88">M12/M6</f>
        <v>0.18689870407411993</v>
      </c>
      <c r="N36" s="35">
        <f t="shared" ref="N36:O36" si="89">N12/N6</f>
        <v>0.1626980068402363</v>
      </c>
      <c r="O36" s="35">
        <f t="shared" si="89"/>
        <v>0.17790576414028467</v>
      </c>
      <c r="P36" s="35">
        <f>P12/P6</f>
        <v>0.16397143227224203</v>
      </c>
      <c r="Q36" s="35">
        <f>Q12/Q6</f>
        <v>0.19668962571413315</v>
      </c>
      <c r="R36" s="35">
        <f t="shared" ref="R36" si="90">R12/R6</f>
        <v>0.19848350463470196</v>
      </c>
      <c r="S36" s="35">
        <f t="shared" ref="S36" si="91">S12/S6</f>
        <v>0.25228913040046591</v>
      </c>
      <c r="T36" s="35">
        <f t="shared" ref="T36" si="92">T12/T6</f>
        <v>0.26768350265585533</v>
      </c>
      <c r="U36" s="35">
        <f>U12/U6</f>
        <v>0.30182916117698722</v>
      </c>
      <c r="V36" s="35">
        <v>0.3</v>
      </c>
      <c r="AB36" s="35">
        <f>AB12/AB6</f>
        <v>0.1852579525466537</v>
      </c>
      <c r="AC36" s="47">
        <f>AC12/AC6</f>
        <v>0.28263320984898344</v>
      </c>
      <c r="AD36" s="41">
        <v>0.25</v>
      </c>
      <c r="AE36" s="41">
        <v>0.2</v>
      </c>
      <c r="AF36" s="41">
        <v>0.18</v>
      </c>
      <c r="AG36" s="41">
        <v>0.18</v>
      </c>
      <c r="AH36" s="41">
        <v>0.18</v>
      </c>
      <c r="AI36" s="41">
        <v>0.15</v>
      </c>
      <c r="AJ36" s="41">
        <v>0.15</v>
      </c>
      <c r="AK36" s="41">
        <v>0.15</v>
      </c>
      <c r="AL36" s="41">
        <v>0.15</v>
      </c>
      <c r="AM36" s="41">
        <v>0.15</v>
      </c>
    </row>
    <row r="39" spans="2:40" x14ac:dyDescent="0.2">
      <c r="AI39" s="72"/>
      <c r="AJ39" s="72"/>
      <c r="AK39" s="72"/>
      <c r="AL39" s="72"/>
      <c r="AM39" s="72"/>
    </row>
    <row r="40" spans="2:40" x14ac:dyDescent="0.2">
      <c r="B40" s="37" t="s">
        <v>98</v>
      </c>
    </row>
    <row r="41" spans="2:40" s="2" customFormat="1" x14ac:dyDescent="0.2">
      <c r="B41" s="2" t="s">
        <v>6</v>
      </c>
      <c r="M41" s="32">
        <v>3089.884</v>
      </c>
      <c r="R41" s="32">
        <v>2502.9920000000002</v>
      </c>
      <c r="S41" s="32">
        <v>2451.5450000000001</v>
      </c>
      <c r="T41" s="32">
        <v>3350.7809999999999</v>
      </c>
      <c r="U41" s="32">
        <v>1378.251</v>
      </c>
      <c r="AB41" s="32">
        <f>R41</f>
        <v>2502.9920000000002</v>
      </c>
      <c r="AC41" s="52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2:40" s="2" customFormat="1" x14ac:dyDescent="0.2">
      <c r="B42" s="2" t="s">
        <v>112</v>
      </c>
      <c r="M42" s="32">
        <v>3031.277</v>
      </c>
      <c r="R42" s="32">
        <v>5265.1009999999997</v>
      </c>
      <c r="S42" s="32">
        <v>4795.1450000000004</v>
      </c>
      <c r="T42" s="32">
        <v>3604.01</v>
      </c>
      <c r="U42" s="32">
        <v>3563.181</v>
      </c>
      <c r="AB42" s="32">
        <f>R42</f>
        <v>5265.1009999999997</v>
      </c>
      <c r="AC42" s="52"/>
      <c r="AD42" s="58"/>
      <c r="AE42" s="58"/>
      <c r="AF42" s="58"/>
      <c r="AG42" s="58"/>
      <c r="AH42" s="58"/>
      <c r="AI42" s="58"/>
      <c r="AJ42" s="58"/>
      <c r="AK42" s="58"/>
      <c r="AL42" s="58"/>
      <c r="AM42" s="58"/>
    </row>
    <row r="43" spans="2:40" x14ac:dyDescent="0.2">
      <c r="B43" s="1" t="s">
        <v>113</v>
      </c>
      <c r="M43" s="33">
        <v>109.7</v>
      </c>
      <c r="R43" s="33">
        <v>192.209</v>
      </c>
      <c r="S43" s="33">
        <v>225.25200000000001</v>
      </c>
      <c r="T43" s="33">
        <v>238.72300000000001</v>
      </c>
      <c r="U43" s="33">
        <v>241.18299999999999</v>
      </c>
      <c r="AB43" s="33">
        <f>R43</f>
        <v>192.209</v>
      </c>
    </row>
    <row r="44" spans="2:40" x14ac:dyDescent="0.2">
      <c r="B44" s="1" t="s">
        <v>114</v>
      </c>
      <c r="M44" s="33">
        <v>247.977</v>
      </c>
      <c r="R44" s="33">
        <v>470.72199999999998</v>
      </c>
      <c r="S44" s="33">
        <v>486.50700000000001</v>
      </c>
      <c r="T44" s="33">
        <v>537.79</v>
      </c>
      <c r="U44" s="33">
        <v>666.053</v>
      </c>
      <c r="AB44" s="33">
        <f t="shared" ref="AB44:AB64" si="93">R44</f>
        <v>470.72199999999998</v>
      </c>
    </row>
    <row r="45" spans="2:40" x14ac:dyDescent="0.2">
      <c r="B45" s="1" t="s">
        <v>115</v>
      </c>
      <c r="M45" s="33">
        <v>71.302999999999997</v>
      </c>
      <c r="R45" s="33">
        <v>5.0229999999999997</v>
      </c>
      <c r="S45" s="33">
        <v>3.3690000000000002</v>
      </c>
      <c r="T45" s="33">
        <v>13.212999999999999</v>
      </c>
      <c r="U45" s="33">
        <v>11.996</v>
      </c>
      <c r="AB45" s="33">
        <f t="shared" si="93"/>
        <v>5.0229999999999997</v>
      </c>
    </row>
    <row r="46" spans="2:40" x14ac:dyDescent="0.2">
      <c r="B46" s="1" t="s">
        <v>116</v>
      </c>
      <c r="M46" s="33">
        <v>63.076000000000001</v>
      </c>
      <c r="R46" s="33">
        <v>103.273</v>
      </c>
      <c r="S46" s="33">
        <v>113.063</v>
      </c>
      <c r="T46" s="33">
        <v>113.247</v>
      </c>
      <c r="U46" s="33">
        <v>152.322</v>
      </c>
      <c r="AB46" s="33">
        <f t="shared" si="93"/>
        <v>103.273</v>
      </c>
    </row>
    <row r="47" spans="2:40" x14ac:dyDescent="0.2">
      <c r="B47" s="1" t="s">
        <v>117</v>
      </c>
      <c r="C47" s="1">
        <f t="shared" ref="C47:T47" si="94">SUM(C41:C46)</f>
        <v>0</v>
      </c>
      <c r="D47" s="1">
        <f t="shared" si="94"/>
        <v>0</v>
      </c>
      <c r="E47" s="1">
        <f t="shared" si="94"/>
        <v>0</v>
      </c>
      <c r="F47" s="1">
        <f t="shared" si="94"/>
        <v>0</v>
      </c>
      <c r="G47" s="1">
        <f t="shared" si="94"/>
        <v>0</v>
      </c>
      <c r="H47" s="1">
        <f t="shared" si="94"/>
        <v>0</v>
      </c>
      <c r="I47" s="1">
        <f t="shared" si="94"/>
        <v>0</v>
      </c>
      <c r="J47" s="1">
        <f t="shared" si="94"/>
        <v>0</v>
      </c>
      <c r="K47" s="1">
        <f t="shared" si="94"/>
        <v>0</v>
      </c>
      <c r="L47" s="1">
        <f t="shared" si="94"/>
        <v>0</v>
      </c>
      <c r="M47" s="33">
        <f t="shared" si="94"/>
        <v>6613.2169999999996</v>
      </c>
      <c r="N47" s="1">
        <f t="shared" si="94"/>
        <v>0</v>
      </c>
      <c r="O47" s="1">
        <f t="shared" si="94"/>
        <v>0</v>
      </c>
      <c r="P47" s="1">
        <f t="shared" si="94"/>
        <v>0</v>
      </c>
      <c r="Q47" s="1">
        <f t="shared" si="94"/>
        <v>0</v>
      </c>
      <c r="R47" s="33">
        <f t="shared" si="94"/>
        <v>8539.3199999999979</v>
      </c>
      <c r="S47" s="33">
        <f t="shared" si="94"/>
        <v>8074.8810000000003</v>
      </c>
      <c r="T47" s="33">
        <f t="shared" si="94"/>
        <v>7857.7640000000001</v>
      </c>
      <c r="U47" s="33">
        <f>SUM(U41:U46)</f>
        <v>6012.9859999999999</v>
      </c>
      <c r="AB47" s="33">
        <f>SUM(AB41:AB46)</f>
        <v>8539.3199999999979</v>
      </c>
    </row>
    <row r="48" spans="2:40" x14ac:dyDescent="0.2">
      <c r="B48" s="1" t="s">
        <v>118</v>
      </c>
      <c r="M48" s="33">
        <v>94.697999999999993</v>
      </c>
      <c r="R48" s="33">
        <v>105.526</v>
      </c>
      <c r="S48" s="33">
        <v>109.57</v>
      </c>
      <c r="T48" s="33">
        <v>114.20699999999999</v>
      </c>
      <c r="U48" s="33">
        <v>128.46100000000001</v>
      </c>
      <c r="AB48" s="33">
        <f t="shared" si="93"/>
        <v>105.526</v>
      </c>
    </row>
    <row r="49" spans="2:39" x14ac:dyDescent="0.2">
      <c r="B49" s="1" t="s">
        <v>119</v>
      </c>
      <c r="M49" s="33">
        <v>143.92500000000001</v>
      </c>
      <c r="R49" s="33">
        <v>196.38800000000001</v>
      </c>
      <c r="S49" s="33">
        <v>220.20500000000001</v>
      </c>
      <c r="T49" s="33">
        <v>224.55500000000001</v>
      </c>
      <c r="U49" s="33">
        <v>349.74</v>
      </c>
      <c r="AB49" s="33">
        <f t="shared" si="93"/>
        <v>196.38800000000001</v>
      </c>
    </row>
    <row r="50" spans="2:39" x14ac:dyDescent="0.2">
      <c r="B50" s="1" t="s">
        <v>120</v>
      </c>
      <c r="M50" s="33">
        <v>122.71</v>
      </c>
      <c r="R50" s="33">
        <v>138.49600000000001</v>
      </c>
      <c r="S50" s="33">
        <v>131.608</v>
      </c>
      <c r="T50" s="33">
        <v>133.12899999999999</v>
      </c>
      <c r="U50" s="33">
        <v>410.81900000000002</v>
      </c>
      <c r="AB50" s="33">
        <f t="shared" si="93"/>
        <v>138.49600000000001</v>
      </c>
    </row>
    <row r="51" spans="2:39" x14ac:dyDescent="0.2">
      <c r="B51" s="1" t="s">
        <v>121</v>
      </c>
      <c r="M51" s="33">
        <v>5.1159999999999997</v>
      </c>
      <c r="R51" s="33">
        <v>48.369</v>
      </c>
      <c r="S51" s="33">
        <v>47.064</v>
      </c>
      <c r="T51" s="33">
        <v>44.762999999999998</v>
      </c>
      <c r="U51" s="33">
        <v>43.25</v>
      </c>
      <c r="AB51" s="33">
        <f t="shared" si="93"/>
        <v>48.369</v>
      </c>
    </row>
    <row r="52" spans="2:39" x14ac:dyDescent="0.2">
      <c r="B52" s="1" t="s">
        <v>122</v>
      </c>
      <c r="M52" s="33">
        <v>170.5</v>
      </c>
      <c r="R52" s="33">
        <v>3955.5450000000001</v>
      </c>
      <c r="S52" s="33">
        <v>2894.6010000000001</v>
      </c>
      <c r="T52" s="33">
        <v>1993.867</v>
      </c>
      <c r="U52" s="33">
        <v>2421.7469999999998</v>
      </c>
      <c r="AB52" s="33">
        <f t="shared" si="93"/>
        <v>3955.5450000000001</v>
      </c>
    </row>
    <row r="53" spans="2:39" x14ac:dyDescent="0.2">
      <c r="B53" s="1" t="s">
        <v>123</v>
      </c>
      <c r="M53" s="33">
        <v>311.86500000000001</v>
      </c>
      <c r="R53" s="33">
        <v>356.52800000000002</v>
      </c>
      <c r="S53" s="33">
        <v>356.52800000000002</v>
      </c>
      <c r="T53" s="33">
        <v>379.34500000000003</v>
      </c>
      <c r="U53" s="33">
        <v>1836.2819999999999</v>
      </c>
      <c r="AB53" s="33">
        <f t="shared" si="93"/>
        <v>356.52800000000002</v>
      </c>
    </row>
    <row r="54" spans="2:39" x14ac:dyDescent="0.2">
      <c r="B54" s="1" t="s">
        <v>124</v>
      </c>
      <c r="C54" s="1">
        <f t="shared" ref="C54:T54" si="95">SUM(C48:C53)+C47</f>
        <v>0</v>
      </c>
      <c r="D54" s="1">
        <f t="shared" si="95"/>
        <v>0</v>
      </c>
      <c r="E54" s="1">
        <f t="shared" si="95"/>
        <v>0</v>
      </c>
      <c r="F54" s="1">
        <f t="shared" si="95"/>
        <v>0</v>
      </c>
      <c r="G54" s="1">
        <f t="shared" si="95"/>
        <v>0</v>
      </c>
      <c r="H54" s="1">
        <f t="shared" si="95"/>
        <v>0</v>
      </c>
      <c r="I54" s="1">
        <f t="shared" si="95"/>
        <v>0</v>
      </c>
      <c r="J54" s="1">
        <f t="shared" si="95"/>
        <v>0</v>
      </c>
      <c r="K54" s="1">
        <f t="shared" si="95"/>
        <v>0</v>
      </c>
      <c r="L54" s="1">
        <f t="shared" si="95"/>
        <v>0</v>
      </c>
      <c r="M54" s="33">
        <f t="shared" si="95"/>
        <v>7462.0309999999999</v>
      </c>
      <c r="N54" s="1">
        <f t="shared" si="95"/>
        <v>0</v>
      </c>
      <c r="O54" s="1">
        <f t="shared" si="95"/>
        <v>0</v>
      </c>
      <c r="P54" s="1">
        <f t="shared" si="95"/>
        <v>0</v>
      </c>
      <c r="Q54" s="1">
        <f t="shared" si="95"/>
        <v>0</v>
      </c>
      <c r="R54" s="33">
        <f t="shared" si="95"/>
        <v>13340.171999999999</v>
      </c>
      <c r="S54" s="33">
        <f t="shared" si="95"/>
        <v>11834.457</v>
      </c>
      <c r="T54" s="33">
        <f t="shared" si="95"/>
        <v>10747.630000000001</v>
      </c>
      <c r="U54" s="33">
        <f>SUM(U48:U53)+U47</f>
        <v>11203.285</v>
      </c>
      <c r="AB54" s="33">
        <f>SUM(AB48:AB53)+AB47</f>
        <v>13340.171999999999</v>
      </c>
    </row>
    <row r="55" spans="2:39" x14ac:dyDescent="0.2">
      <c r="M55" s="33"/>
      <c r="R55" s="33"/>
      <c r="S55" s="33"/>
      <c r="T55" s="33"/>
      <c r="U55" s="33"/>
      <c r="AB55" s="33">
        <f t="shared" si="93"/>
        <v>0</v>
      </c>
    </row>
    <row r="56" spans="2:39" x14ac:dyDescent="0.2">
      <c r="B56" s="1" t="s">
        <v>125</v>
      </c>
      <c r="M56" s="33">
        <v>261.56099999999998</v>
      </c>
      <c r="R56" s="33">
        <v>456.68799999999999</v>
      </c>
      <c r="S56" s="33">
        <v>406.64699999999999</v>
      </c>
      <c r="T56" s="33">
        <v>419.40800000000002</v>
      </c>
      <c r="U56" s="33">
        <v>596.11400000000003</v>
      </c>
      <c r="AB56" s="33">
        <f t="shared" si="93"/>
        <v>456.68799999999999</v>
      </c>
    </row>
    <row r="57" spans="2:39" x14ac:dyDescent="0.2">
      <c r="B57" s="1" t="s">
        <v>126</v>
      </c>
      <c r="M57" s="33">
        <v>0.79900000000000004</v>
      </c>
      <c r="R57" s="33">
        <v>13.505000000000001</v>
      </c>
      <c r="S57" s="33">
        <v>8.2940000000000005</v>
      </c>
      <c r="T57" s="33">
        <v>4.125</v>
      </c>
      <c r="U57" s="33">
        <v>4.4580000000000002</v>
      </c>
      <c r="AB57" s="33">
        <f t="shared" si="93"/>
        <v>13.505000000000001</v>
      </c>
    </row>
    <row r="58" spans="2:39" x14ac:dyDescent="0.2">
      <c r="B58" s="1" t="s">
        <v>127</v>
      </c>
      <c r="M58" s="33">
        <v>96.777000000000001</v>
      </c>
      <c r="R58" s="33">
        <v>216.792</v>
      </c>
      <c r="S58" s="33">
        <v>247.64699999999999</v>
      </c>
      <c r="T58" s="33">
        <v>254.00700000000001</v>
      </c>
      <c r="U58" s="33">
        <v>287.625</v>
      </c>
      <c r="AB58" s="33">
        <f t="shared" si="93"/>
        <v>216.792</v>
      </c>
    </row>
    <row r="59" spans="2:39" x14ac:dyDescent="0.2">
      <c r="B59" s="1" t="s">
        <v>128</v>
      </c>
      <c r="M59" s="33">
        <v>10.994</v>
      </c>
      <c r="R59" s="33">
        <v>15.747999999999999</v>
      </c>
      <c r="S59" s="33">
        <v>19.344000000000001</v>
      </c>
      <c r="T59" s="33">
        <v>25.667999999999999</v>
      </c>
      <c r="U59" s="33">
        <v>17.024000000000001</v>
      </c>
      <c r="AB59" s="33">
        <f t="shared" si="93"/>
        <v>15.747999999999999</v>
      </c>
    </row>
    <row r="60" spans="2:39" x14ac:dyDescent="0.2">
      <c r="B60" s="1" t="s">
        <v>129</v>
      </c>
      <c r="C60" s="1">
        <f t="shared" ref="C60:T60" si="96">SUM(C56:C59)</f>
        <v>0</v>
      </c>
      <c r="D60" s="1">
        <f t="shared" si="96"/>
        <v>0</v>
      </c>
      <c r="E60" s="1">
        <f t="shared" si="96"/>
        <v>0</v>
      </c>
      <c r="F60" s="1">
        <f t="shared" si="96"/>
        <v>0</v>
      </c>
      <c r="G60" s="1">
        <f t="shared" si="96"/>
        <v>0</v>
      </c>
      <c r="H60" s="1">
        <f t="shared" si="96"/>
        <v>0</v>
      </c>
      <c r="I60" s="1">
        <f t="shared" si="96"/>
        <v>0</v>
      </c>
      <c r="J60" s="1">
        <f t="shared" si="96"/>
        <v>0</v>
      </c>
      <c r="K60" s="1">
        <f t="shared" si="96"/>
        <v>0</v>
      </c>
      <c r="L60" s="1">
        <f t="shared" si="96"/>
        <v>0</v>
      </c>
      <c r="M60" s="33">
        <f t="shared" si="96"/>
        <v>370.13099999999997</v>
      </c>
      <c r="N60" s="1">
        <f t="shared" si="96"/>
        <v>0</v>
      </c>
      <c r="O60" s="1">
        <f t="shared" si="96"/>
        <v>0</v>
      </c>
      <c r="P60" s="1">
        <f t="shared" si="96"/>
        <v>0</v>
      </c>
      <c r="Q60" s="1">
        <f t="shared" si="96"/>
        <v>0</v>
      </c>
      <c r="R60" s="33">
        <f t="shared" si="96"/>
        <v>702.73300000000006</v>
      </c>
      <c r="S60" s="33">
        <f t="shared" si="96"/>
        <v>681.93200000000002</v>
      </c>
      <c r="T60" s="33">
        <f t="shared" si="96"/>
        <v>703.20799999999997</v>
      </c>
      <c r="U60" s="33">
        <f>SUM(U56:U59)</f>
        <v>905.221</v>
      </c>
      <c r="AB60" s="33">
        <f>SUM(AB56:AB59)</f>
        <v>702.73300000000006</v>
      </c>
    </row>
    <row r="61" spans="2:39" x14ac:dyDescent="0.2">
      <c r="B61" s="1" t="s">
        <v>127</v>
      </c>
      <c r="M61" s="33">
        <v>23.08</v>
      </c>
      <c r="R61" s="33">
        <v>162.93199999999999</v>
      </c>
      <c r="S61" s="33">
        <v>186.636</v>
      </c>
      <c r="T61" s="33">
        <v>159.405</v>
      </c>
      <c r="U61" s="33">
        <v>299.625</v>
      </c>
      <c r="AB61" s="33">
        <f t="shared" si="93"/>
        <v>162.93199999999999</v>
      </c>
    </row>
    <row r="62" spans="2:39" x14ac:dyDescent="0.2">
      <c r="B62" s="1" t="s">
        <v>128</v>
      </c>
      <c r="M62" s="33">
        <v>141.53899999999999</v>
      </c>
      <c r="R62" s="33">
        <v>246.77600000000001</v>
      </c>
      <c r="S62" s="33">
        <v>264.53399999999999</v>
      </c>
      <c r="T62" s="33">
        <v>254.417</v>
      </c>
      <c r="U62" s="33">
        <v>369.13099999999997</v>
      </c>
      <c r="AB62" s="33">
        <f t="shared" si="93"/>
        <v>246.77600000000001</v>
      </c>
    </row>
    <row r="63" spans="2:39" s="2" customFormat="1" x14ac:dyDescent="0.2">
      <c r="B63" s="2" t="s">
        <v>130</v>
      </c>
      <c r="M63" s="32">
        <v>750.452</v>
      </c>
      <c r="R63" s="32">
        <v>910.96299999999997</v>
      </c>
      <c r="S63" s="32">
        <v>911.54899999999998</v>
      </c>
      <c r="T63" s="32">
        <v>912.13699999999994</v>
      </c>
      <c r="U63" s="32">
        <v>912.72400000000005</v>
      </c>
      <c r="AB63" s="32">
        <f>R63</f>
        <v>910.96299999999997</v>
      </c>
      <c r="AC63" s="52"/>
      <c r="AD63" s="58"/>
      <c r="AE63" s="58"/>
      <c r="AF63" s="58"/>
      <c r="AG63" s="58"/>
      <c r="AH63" s="58"/>
      <c r="AI63" s="58"/>
      <c r="AJ63" s="58"/>
      <c r="AK63" s="58"/>
      <c r="AL63" s="58"/>
      <c r="AM63" s="58"/>
    </row>
    <row r="64" spans="2:39" x14ac:dyDescent="0.2">
      <c r="B64" s="1" t="s">
        <v>121</v>
      </c>
      <c r="M64" s="33">
        <v>0</v>
      </c>
      <c r="R64" s="33">
        <v>183.42699999999999</v>
      </c>
      <c r="S64" s="33">
        <v>0.21099999999999999</v>
      </c>
      <c r="T64" s="33">
        <v>1.335</v>
      </c>
      <c r="U64" s="33">
        <v>23.576000000000001</v>
      </c>
      <c r="AB64" s="33">
        <f t="shared" si="93"/>
        <v>183.42699999999999</v>
      </c>
    </row>
    <row r="65" spans="2:29" x14ac:dyDescent="0.2">
      <c r="B65" s="1" t="s">
        <v>131</v>
      </c>
      <c r="C65" s="1">
        <f t="shared" ref="C65:T65" si="97">SUM(C61:C64)+C60</f>
        <v>0</v>
      </c>
      <c r="D65" s="1">
        <f t="shared" si="97"/>
        <v>0</v>
      </c>
      <c r="E65" s="1">
        <f t="shared" si="97"/>
        <v>0</v>
      </c>
      <c r="F65" s="1">
        <f t="shared" si="97"/>
        <v>0</v>
      </c>
      <c r="G65" s="1">
        <f t="shared" si="97"/>
        <v>0</v>
      </c>
      <c r="H65" s="1">
        <f t="shared" si="97"/>
        <v>0</v>
      </c>
      <c r="I65" s="1">
        <f t="shared" si="97"/>
        <v>0</v>
      </c>
      <c r="J65" s="1">
        <f t="shared" si="97"/>
        <v>0</v>
      </c>
      <c r="K65" s="1">
        <f t="shared" si="97"/>
        <v>0</v>
      </c>
      <c r="L65" s="1">
        <f t="shared" si="97"/>
        <v>0</v>
      </c>
      <c r="M65" s="33">
        <f t="shared" si="97"/>
        <v>1285.2019999999998</v>
      </c>
      <c r="N65" s="1">
        <f t="shared" si="97"/>
        <v>0</v>
      </c>
      <c r="O65" s="1">
        <f t="shared" si="97"/>
        <v>0</v>
      </c>
      <c r="P65" s="1">
        <f t="shared" si="97"/>
        <v>0</v>
      </c>
      <c r="Q65" s="1">
        <f t="shared" si="97"/>
        <v>0</v>
      </c>
      <c r="R65" s="33">
        <f t="shared" si="97"/>
        <v>2206.8309999999997</v>
      </c>
      <c r="S65" s="33">
        <f t="shared" si="97"/>
        <v>2044.8620000000001</v>
      </c>
      <c r="T65" s="33">
        <f t="shared" si="97"/>
        <v>2030.502</v>
      </c>
      <c r="U65" s="33">
        <f>SUM(U61:U64)+U60</f>
        <v>2510.277</v>
      </c>
      <c r="AB65" s="33">
        <f>SUM(AB61:AB64)+AB60</f>
        <v>2206.8309999999997</v>
      </c>
    </row>
    <row r="66" spans="2:29" x14ac:dyDescent="0.2">
      <c r="S66" s="33"/>
      <c r="T66" s="33"/>
      <c r="U66" s="33"/>
    </row>
    <row r="67" spans="2:29" x14ac:dyDescent="0.2">
      <c r="B67" s="1" t="s">
        <v>132</v>
      </c>
      <c r="M67" s="33">
        <v>6176.8289999999997</v>
      </c>
      <c r="R67" s="33">
        <v>11133.341</v>
      </c>
      <c r="S67" s="33">
        <v>9789.5949999999993</v>
      </c>
      <c r="T67" s="33">
        <v>8717.1280000000006</v>
      </c>
      <c r="U67" s="33">
        <v>8693.0079999999998</v>
      </c>
      <c r="AB67" s="33">
        <f>R67</f>
        <v>11133.341</v>
      </c>
    </row>
    <row r="68" spans="2:29" x14ac:dyDescent="0.2">
      <c r="B68" s="1" t="s">
        <v>133</v>
      </c>
      <c r="M68" s="33">
        <f>M67+M65</f>
        <v>7462.030999999999</v>
      </c>
      <c r="R68" s="33">
        <f>R67+R65</f>
        <v>13340.172</v>
      </c>
      <c r="S68" s="33">
        <f>S67+S65</f>
        <v>11834.456999999999</v>
      </c>
      <c r="T68" s="33">
        <f>T67+T65</f>
        <v>10747.630000000001</v>
      </c>
      <c r="U68" s="33">
        <f>U67+U65</f>
        <v>11203.285</v>
      </c>
      <c r="AB68" s="33">
        <f>AB67+AB65</f>
        <v>13340.172</v>
      </c>
    </row>
    <row r="70" spans="2:29" x14ac:dyDescent="0.2">
      <c r="B70" s="1" t="s">
        <v>134</v>
      </c>
      <c r="M70" s="33">
        <f t="shared" ref="M70" si="98">M54-M65</f>
        <v>6176.8289999999997</v>
      </c>
      <c r="R70" s="33">
        <f t="shared" ref="R70" si="99">R54-R65</f>
        <v>11133.340999999999</v>
      </c>
      <c r="S70" s="33">
        <f t="shared" ref="S70:T70" si="100">S54-S65</f>
        <v>9789.5950000000012</v>
      </c>
      <c r="T70" s="33">
        <f t="shared" si="100"/>
        <v>8717.1280000000006</v>
      </c>
      <c r="U70" s="33">
        <f>U54-U65</f>
        <v>8693.0079999999998</v>
      </c>
      <c r="AB70" s="33">
        <f>AB54-AB65</f>
        <v>11133.340999999999</v>
      </c>
    </row>
    <row r="71" spans="2:29" x14ac:dyDescent="0.2">
      <c r="B71" s="1" t="s">
        <v>135</v>
      </c>
      <c r="M71" s="1">
        <f t="shared" ref="M71" si="101">M70/M22</f>
        <v>51.25510694067961</v>
      </c>
      <c r="R71" s="1">
        <f t="shared" ref="R71:S71" si="102">R70/R22</f>
        <v>88.546249602983664</v>
      </c>
      <c r="S71" s="1">
        <f t="shared" si="102"/>
        <v>77.687142379346611</v>
      </c>
      <c r="T71" s="1">
        <f t="shared" ref="T71" si="103">T70/T22</f>
        <v>6.9073275958982521</v>
      </c>
      <c r="U71" s="1">
        <f>U70/U22</f>
        <v>6.8479874371111631</v>
      </c>
      <c r="AB71" s="1">
        <f>AB70/AB22</f>
        <v>88.546249602983664</v>
      </c>
    </row>
    <row r="73" spans="2:29" s="28" customFormat="1" x14ac:dyDescent="0.2">
      <c r="B73" s="28" t="s">
        <v>6</v>
      </c>
      <c r="M73" s="31">
        <f t="shared" ref="M73" si="104">M41+M42</f>
        <v>6121.1610000000001</v>
      </c>
      <c r="R73" s="31">
        <f t="shared" ref="R73:S73" si="105">R41+R42</f>
        <v>7768.0929999999998</v>
      </c>
      <c r="S73" s="31">
        <f t="shared" si="105"/>
        <v>7246.6900000000005</v>
      </c>
      <c r="T73" s="31">
        <f t="shared" ref="T73" si="106">T41+T42</f>
        <v>6954.7910000000002</v>
      </c>
      <c r="U73" s="31">
        <f>U41+U42</f>
        <v>4941.4319999999998</v>
      </c>
      <c r="AB73" s="31">
        <f>AB41+AB42</f>
        <v>7768.0929999999998</v>
      </c>
      <c r="AC73" s="48"/>
    </row>
    <row r="74" spans="2:29" s="28" customFormat="1" x14ac:dyDescent="0.2">
      <c r="B74" s="28" t="s">
        <v>7</v>
      </c>
      <c r="M74" s="31">
        <f t="shared" ref="M74" si="107">M63</f>
        <v>750.452</v>
      </c>
      <c r="R74" s="31">
        <f t="shared" ref="R74:S74" si="108">R63</f>
        <v>910.96299999999997</v>
      </c>
      <c r="S74" s="31">
        <f t="shared" si="108"/>
        <v>911.54899999999998</v>
      </c>
      <c r="T74" s="31">
        <f t="shared" ref="T74" si="109">T63</f>
        <v>912.13699999999994</v>
      </c>
      <c r="U74" s="31">
        <f>U63</f>
        <v>912.72400000000005</v>
      </c>
      <c r="AB74" s="31">
        <f>AB63</f>
        <v>910.96299999999997</v>
      </c>
      <c r="AC74" s="48"/>
    </row>
    <row r="75" spans="2:29" x14ac:dyDescent="0.2">
      <c r="B75" s="1" t="s">
        <v>8</v>
      </c>
      <c r="M75" s="33">
        <f t="shared" ref="M75" si="110">M73-M74</f>
        <v>5370.7089999999998</v>
      </c>
      <c r="R75" s="33">
        <f t="shared" ref="R75:S75" si="111">R73-R74</f>
        <v>6857.13</v>
      </c>
      <c r="S75" s="33">
        <f t="shared" si="111"/>
        <v>6335.1410000000005</v>
      </c>
      <c r="T75" s="33">
        <f t="shared" ref="T75" si="112">T73-T74</f>
        <v>6042.6540000000005</v>
      </c>
      <c r="U75" s="33">
        <f>U73-U74</f>
        <v>4028.7079999999996</v>
      </c>
      <c r="AB75" s="33">
        <f>AB73-AB74</f>
        <v>6857.13</v>
      </c>
    </row>
    <row r="77" spans="2:29" x14ac:dyDescent="0.2">
      <c r="B77" s="1" t="s">
        <v>136</v>
      </c>
      <c r="M77" s="1">
        <f>31.17*10</f>
        <v>311.70000000000005</v>
      </c>
      <c r="R77" s="36">
        <f>137.743*10</f>
        <v>1377.4299999999998</v>
      </c>
      <c r="S77" s="36">
        <f>67.6*10</f>
        <v>676</v>
      </c>
      <c r="T77" s="36">
        <v>31.24</v>
      </c>
      <c r="U77" s="36">
        <v>26.94</v>
      </c>
      <c r="AB77" s="33">
        <f>R77</f>
        <v>1377.4299999999998</v>
      </c>
    </row>
    <row r="78" spans="2:29" x14ac:dyDescent="0.2">
      <c r="B78" s="1" t="s">
        <v>137</v>
      </c>
      <c r="M78" s="33">
        <f t="shared" ref="M78" si="113">M77*M22</f>
        <v>37563.429562800004</v>
      </c>
      <c r="R78" s="33">
        <f t="shared" ref="R78:T78" si="114">R77*R22</f>
        <v>173190.82357964999</v>
      </c>
      <c r="S78" s="33">
        <f t="shared" ref="S78" si="115">S77*S22</f>
        <v>85184.832616</v>
      </c>
      <c r="T78" s="33">
        <f t="shared" si="114"/>
        <v>39425.244414599998</v>
      </c>
      <c r="U78" s="33">
        <f>U77*U22</f>
        <v>34198.315588440004</v>
      </c>
      <c r="AB78" s="33">
        <f t="shared" ref="AB78" si="116">AB77*AB22</f>
        <v>173190.82357964999</v>
      </c>
    </row>
    <row r="79" spans="2:29" x14ac:dyDescent="0.2">
      <c r="B79" s="1" t="s">
        <v>9</v>
      </c>
      <c r="M79" s="33">
        <f t="shared" ref="M79" si="117">M78-M75</f>
        <v>32192.720562800005</v>
      </c>
      <c r="R79" s="33">
        <f t="shared" ref="R79:T79" si="118">R78-R75</f>
        <v>166333.69357964999</v>
      </c>
      <c r="S79" s="33">
        <f t="shared" ref="S79" si="119">S78-S75</f>
        <v>78849.691615999996</v>
      </c>
      <c r="T79" s="33">
        <f t="shared" si="118"/>
        <v>33382.590414599996</v>
      </c>
      <c r="U79" s="33">
        <f>U78-U75</f>
        <v>30169.607588440005</v>
      </c>
      <c r="AB79" s="33">
        <f t="shared" ref="AB79" si="120">AB78-AB75</f>
        <v>166333.69357964999</v>
      </c>
    </row>
    <row r="81" spans="2:39" x14ac:dyDescent="0.2">
      <c r="B81" s="1" t="s">
        <v>22</v>
      </c>
      <c r="M81" s="43">
        <f>M77/M71</f>
        <v>6.0813452279154898</v>
      </c>
      <c r="R81" s="43">
        <f>R77/R71</f>
        <v>15.556051285921271</v>
      </c>
      <c r="S81" s="43">
        <f t="shared" ref="S81" si="121">S77/S71</f>
        <v>8.7015686160663428</v>
      </c>
      <c r="T81" s="43">
        <f t="shared" ref="T81" si="122">T77/T71</f>
        <v>4.5227332229835326</v>
      </c>
      <c r="U81" s="43">
        <f>U77/U71</f>
        <v>3.9340025441642301</v>
      </c>
      <c r="AB81" s="43">
        <f>AB77/AB71</f>
        <v>15.556051285921271</v>
      </c>
    </row>
    <row r="82" spans="2:39" x14ac:dyDescent="0.2">
      <c r="B82" s="1" t="s">
        <v>23</v>
      </c>
      <c r="R82" s="43">
        <f t="shared" ref="R82:T82" si="123">R78/SUM(O6:R6)</f>
        <v>37.553389260126508</v>
      </c>
      <c r="S82" s="43">
        <f t="shared" si="123"/>
        <v>17.64818676432078</v>
      </c>
      <c r="T82" s="43">
        <f t="shared" si="123"/>
        <v>7.8811871012403909</v>
      </c>
      <c r="U82" s="43">
        <f>U78/SUM(R6:U6)</f>
        <v>6.5202864469437998</v>
      </c>
      <c r="AB82" s="43">
        <f>AB78/AB6</f>
        <v>37.553389260126508</v>
      </c>
    </row>
    <row r="83" spans="2:39" x14ac:dyDescent="0.2">
      <c r="B83" s="1" t="s">
        <v>24</v>
      </c>
      <c r="R83" s="43">
        <f t="shared" ref="R83:T83" si="124">R79/SUM(O6:R6)</f>
        <v>36.066541015081562</v>
      </c>
      <c r="S83" s="43">
        <f t="shared" si="124"/>
        <v>16.335702509637791</v>
      </c>
      <c r="T83" s="43">
        <f t="shared" si="124"/>
        <v>6.673248191306258</v>
      </c>
      <c r="U83" s="43">
        <f>U79/SUM(R6:U6)</f>
        <v>5.752168786202243</v>
      </c>
    </row>
    <row r="84" spans="2:39" x14ac:dyDescent="0.2">
      <c r="B84" s="1" t="s">
        <v>25</v>
      </c>
      <c r="R84" s="43">
        <f>R77/SUM(O21:R21)</f>
        <v>58.618024126380732</v>
      </c>
      <c r="S84" s="43">
        <f>S77/SUM(P21:S21)</f>
        <v>425.97888353217269</v>
      </c>
      <c r="T84" s="43">
        <f>T77/SUM(Q21:T21)</f>
        <v>-4.8620155305341894</v>
      </c>
      <c r="U84" s="43">
        <f>U77/SUM(R21:U21)</f>
        <v>-1.7123991298146535</v>
      </c>
      <c r="AB84" s="43">
        <f>AB77/AB21</f>
        <v>59.42061269591057</v>
      </c>
    </row>
    <row r="85" spans="2:39" x14ac:dyDescent="0.2">
      <c r="B85" s="1" t="s">
        <v>26</v>
      </c>
      <c r="R85" s="43">
        <f t="shared" ref="R85:T85" si="125">R79/SUM(O20:R20)</f>
        <v>57.067977276123884</v>
      </c>
      <c r="S85" s="43">
        <f t="shared" si="125"/>
        <v>433.7023619462492</v>
      </c>
      <c r="T85" s="43">
        <f t="shared" si="125"/>
        <v>-17.558750140490666</v>
      </c>
      <c r="U85" s="43">
        <f>U79/SUM(R20:U20)</f>
        <v>-9.4043885395390046</v>
      </c>
      <c r="AB85" s="43">
        <f>AB79/AB20</f>
        <v>57.067977276123898</v>
      </c>
    </row>
    <row r="86" spans="2:39" x14ac:dyDescent="0.2">
      <c r="B86" s="1" t="s">
        <v>27</v>
      </c>
    </row>
    <row r="88" spans="2:39" x14ac:dyDescent="0.2">
      <c r="B88" s="37" t="s">
        <v>99</v>
      </c>
    </row>
    <row r="91" spans="2:39" s="2" customFormat="1" x14ac:dyDescent="0.2">
      <c r="B91" s="2" t="s">
        <v>100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32">
        <v>135.68299999999999</v>
      </c>
      <c r="P91" s="45">
        <f>202.104-O91</f>
        <v>66.421000000000021</v>
      </c>
      <c r="Q91" s="2">
        <v>0</v>
      </c>
      <c r="R91" s="2">
        <v>0</v>
      </c>
      <c r="S91" s="32">
        <v>-53.56</v>
      </c>
      <c r="T91" s="45">
        <f>-177.727-S91</f>
        <v>-124.167</v>
      </c>
      <c r="U91" s="32">
        <f>-391.833-SUM(S91:T91)</f>
        <v>-214.10600000000002</v>
      </c>
      <c r="AC91" s="52"/>
      <c r="AD91" s="58"/>
      <c r="AE91" s="58"/>
      <c r="AF91" s="58"/>
      <c r="AG91" s="58"/>
      <c r="AH91" s="58"/>
      <c r="AI91" s="58"/>
      <c r="AJ91" s="58"/>
      <c r="AK91" s="58"/>
      <c r="AL91" s="58"/>
      <c r="AM91" s="58"/>
    </row>
    <row r="92" spans="2:39" x14ac:dyDescent="0.2">
      <c r="O92" s="33"/>
      <c r="S92" s="33"/>
      <c r="T92" s="33"/>
    </row>
    <row r="93" spans="2:39" x14ac:dyDescent="0.2">
      <c r="B93" s="1" t="s">
        <v>139</v>
      </c>
      <c r="O93" s="33">
        <v>-2444.9549999999999</v>
      </c>
      <c r="P93" s="33">
        <f>-4149.857-O93</f>
        <v>-1704.902</v>
      </c>
      <c r="S93" s="33">
        <v>-1463.7049999999999</v>
      </c>
      <c r="T93" s="33">
        <f>-2033.09-S93</f>
        <v>-569.38499999999999</v>
      </c>
      <c r="U93" s="33">
        <f>3568.229-SUM(S93:T93)</f>
        <v>5601.3189999999995</v>
      </c>
    </row>
    <row r="94" spans="2:39" x14ac:dyDescent="0.2">
      <c r="B94" s="1" t="s">
        <v>140</v>
      </c>
      <c r="O94" s="33">
        <v>1038.316</v>
      </c>
      <c r="P94" s="33">
        <f>2437.951-O94</f>
        <v>1399.635</v>
      </c>
      <c r="S94" s="33">
        <v>1929.395</v>
      </c>
      <c r="T94" s="33">
        <f>3689.564-S94</f>
        <v>1760.1689999999999</v>
      </c>
      <c r="U94" s="33">
        <f>5273.944-SUM(S94:T94)</f>
        <v>1584.3800000000006</v>
      </c>
    </row>
    <row r="95" spans="2:39" x14ac:dyDescent="0.2">
      <c r="B95" s="1" t="s">
        <v>141</v>
      </c>
      <c r="O95" s="33">
        <v>-206.55199999999999</v>
      </c>
      <c r="P95" s="33">
        <f>-401.874-O95</f>
        <v>-195.32200000000003</v>
      </c>
      <c r="S95" s="33">
        <v>453.94499999999999</v>
      </c>
      <c r="T95" s="33">
        <f>569.649-S95</f>
        <v>115.70400000000001</v>
      </c>
      <c r="U95" s="33">
        <f>630.135-SUM(S95:T95)</f>
        <v>60.48599999999999</v>
      </c>
    </row>
    <row r="96" spans="2:39" x14ac:dyDescent="0.2">
      <c r="B96" s="1" t="s">
        <v>142</v>
      </c>
      <c r="O96" s="33">
        <v>5.1879999999999997</v>
      </c>
      <c r="P96" s="33">
        <f>-13.451+O96</f>
        <v>-8.2630000000000017</v>
      </c>
      <c r="S96" s="33">
        <v>15.94</v>
      </c>
      <c r="T96" s="33">
        <f>28.489-S96</f>
        <v>12.549000000000001</v>
      </c>
      <c r="U96" s="33">
        <f>42.394-SUM(S96:T96)</f>
        <v>13.904999999999998</v>
      </c>
      <c r="W96" s="33"/>
    </row>
    <row r="97" spans="2:39" x14ac:dyDescent="0.2">
      <c r="B97" s="1" t="s">
        <v>143</v>
      </c>
      <c r="O97" s="33">
        <v>0</v>
      </c>
      <c r="P97" s="33">
        <v>0</v>
      </c>
      <c r="S97" s="33">
        <v>0</v>
      </c>
      <c r="T97" s="33">
        <v>30.007999999999999</v>
      </c>
      <c r="U97" s="33">
        <f>1753.748-SUM(S97:T97)</f>
        <v>1723.74</v>
      </c>
      <c r="V97" s="33"/>
    </row>
    <row r="98" spans="2:39" s="2" customFormat="1" x14ac:dyDescent="0.2">
      <c r="B98" s="2" t="s">
        <v>102</v>
      </c>
      <c r="C98" s="2">
        <f t="shared" ref="C98:U98" si="126">SUM(C93:C97)</f>
        <v>0</v>
      </c>
      <c r="D98" s="2">
        <f t="shared" si="126"/>
        <v>0</v>
      </c>
      <c r="E98" s="2">
        <f t="shared" si="126"/>
        <v>0</v>
      </c>
      <c r="F98" s="2">
        <f t="shared" si="126"/>
        <v>0</v>
      </c>
      <c r="G98" s="2">
        <f t="shared" si="126"/>
        <v>0</v>
      </c>
      <c r="H98" s="2">
        <f t="shared" si="126"/>
        <v>0</v>
      </c>
      <c r="I98" s="2">
        <f t="shared" si="126"/>
        <v>0</v>
      </c>
      <c r="J98" s="2">
        <f t="shared" si="126"/>
        <v>0</v>
      </c>
      <c r="K98" s="2">
        <f t="shared" si="126"/>
        <v>0</v>
      </c>
      <c r="L98" s="2">
        <f t="shared" si="126"/>
        <v>0</v>
      </c>
      <c r="M98" s="2">
        <f t="shared" si="126"/>
        <v>0</v>
      </c>
      <c r="N98" s="2">
        <f t="shared" si="126"/>
        <v>0</v>
      </c>
      <c r="O98" s="32">
        <f t="shared" si="126"/>
        <v>-1608.0029999999997</v>
      </c>
      <c r="P98" s="32">
        <f t="shared" si="126"/>
        <v>-508.85200000000003</v>
      </c>
      <c r="Q98" s="2">
        <f t="shared" si="126"/>
        <v>0</v>
      </c>
      <c r="R98" s="2">
        <f t="shared" si="126"/>
        <v>0</v>
      </c>
      <c r="S98" s="32">
        <f t="shared" si="126"/>
        <v>935.57500000000005</v>
      </c>
      <c r="T98" s="32">
        <f t="shared" si="126"/>
        <v>1349.0449999999998</v>
      </c>
      <c r="U98" s="32">
        <f t="shared" si="126"/>
        <v>8983.83</v>
      </c>
      <c r="AC98" s="52"/>
      <c r="AD98" s="58"/>
      <c r="AE98" s="58"/>
      <c r="AF98" s="58"/>
      <c r="AG98" s="58"/>
      <c r="AH98" s="58"/>
      <c r="AI98" s="58"/>
      <c r="AJ98" s="58"/>
      <c r="AK98" s="58"/>
      <c r="AL98" s="58"/>
      <c r="AM98" s="58"/>
    </row>
    <row r="99" spans="2:39" x14ac:dyDescent="0.2">
      <c r="O99" s="33"/>
      <c r="P99" s="33"/>
      <c r="S99" s="33"/>
      <c r="T99" s="33"/>
    </row>
    <row r="100" spans="2:39" x14ac:dyDescent="0.2">
      <c r="B100" s="1" t="s">
        <v>101</v>
      </c>
      <c r="C100" s="1">
        <f t="shared" ref="C100:T100" si="127">C96+C97</f>
        <v>0</v>
      </c>
      <c r="D100" s="1">
        <f t="shared" si="127"/>
        <v>0</v>
      </c>
      <c r="E100" s="1">
        <f t="shared" si="127"/>
        <v>0</v>
      </c>
      <c r="F100" s="1">
        <f t="shared" si="127"/>
        <v>0</v>
      </c>
      <c r="G100" s="1">
        <f t="shared" si="127"/>
        <v>0</v>
      </c>
      <c r="H100" s="1">
        <f t="shared" si="127"/>
        <v>0</v>
      </c>
      <c r="I100" s="1">
        <f t="shared" si="127"/>
        <v>0</v>
      </c>
      <c r="J100" s="1">
        <f t="shared" si="127"/>
        <v>0</v>
      </c>
      <c r="K100" s="1">
        <f t="shared" si="127"/>
        <v>0</v>
      </c>
      <c r="L100" s="1">
        <f t="shared" si="127"/>
        <v>0</v>
      </c>
      <c r="M100" s="1">
        <f t="shared" si="127"/>
        <v>0</v>
      </c>
      <c r="N100" s="1">
        <f t="shared" si="127"/>
        <v>0</v>
      </c>
      <c r="O100" s="33">
        <f t="shared" si="127"/>
        <v>5.1879999999999997</v>
      </c>
      <c r="P100" s="33">
        <f t="shared" si="127"/>
        <v>-8.2630000000000017</v>
      </c>
      <c r="Q100" s="1">
        <f t="shared" si="127"/>
        <v>0</v>
      </c>
      <c r="R100" s="1">
        <f t="shared" si="127"/>
        <v>0</v>
      </c>
      <c r="S100" s="33">
        <f t="shared" si="127"/>
        <v>15.94</v>
      </c>
      <c r="T100" s="33">
        <f t="shared" si="127"/>
        <v>42.557000000000002</v>
      </c>
      <c r="U100" s="33">
        <f>U96+U97</f>
        <v>1737.645</v>
      </c>
    </row>
    <row r="101" spans="2:39" x14ac:dyDescent="0.2">
      <c r="O101" s="33"/>
      <c r="P101" s="33"/>
      <c r="S101" s="33"/>
      <c r="T101" s="33"/>
    </row>
    <row r="102" spans="2:39" s="2" customFormat="1" x14ac:dyDescent="0.2">
      <c r="B102" s="2" t="s">
        <v>103</v>
      </c>
      <c r="C102" s="32">
        <f t="shared" ref="C102:R102" si="128">C100-C91</f>
        <v>0</v>
      </c>
      <c r="D102" s="32">
        <f t="shared" si="128"/>
        <v>0</v>
      </c>
      <c r="E102" s="32">
        <f t="shared" si="128"/>
        <v>0</v>
      </c>
      <c r="F102" s="32">
        <f t="shared" si="128"/>
        <v>0</v>
      </c>
      <c r="G102" s="32">
        <f t="shared" si="128"/>
        <v>0</v>
      </c>
      <c r="H102" s="32">
        <f t="shared" si="128"/>
        <v>0</v>
      </c>
      <c r="I102" s="32">
        <f t="shared" si="128"/>
        <v>0</v>
      </c>
      <c r="J102" s="32">
        <f t="shared" si="128"/>
        <v>0</v>
      </c>
      <c r="K102" s="32">
        <f t="shared" si="128"/>
        <v>0</v>
      </c>
      <c r="L102" s="32">
        <f t="shared" si="128"/>
        <v>0</v>
      </c>
      <c r="M102" s="32">
        <f t="shared" si="128"/>
        <v>0</v>
      </c>
      <c r="N102" s="32">
        <f t="shared" si="128"/>
        <v>0</v>
      </c>
      <c r="O102" s="32">
        <f t="shared" si="128"/>
        <v>-130.495</v>
      </c>
      <c r="P102" s="32">
        <f t="shared" si="128"/>
        <v>-74.684000000000026</v>
      </c>
      <c r="Q102" s="32">
        <f t="shared" si="128"/>
        <v>0</v>
      </c>
      <c r="R102" s="32">
        <f t="shared" si="128"/>
        <v>0</v>
      </c>
      <c r="S102" s="32">
        <f>S100-S91</f>
        <v>69.5</v>
      </c>
      <c r="T102" s="32">
        <f t="shared" ref="T102:U102" si="129">T100-T91</f>
        <v>166.72399999999999</v>
      </c>
      <c r="U102" s="32">
        <f t="shared" si="129"/>
        <v>1951.751</v>
      </c>
      <c r="AC102" s="52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</row>
  </sheetData>
  <hyperlinks>
    <hyperlink ref="U1" r:id="rId1" xr:uid="{230A06CC-0E7F-450B-8B83-E730E533289E}"/>
    <hyperlink ref="T1" r:id="rId2" xr:uid="{335B983C-A4C2-42BB-8F6F-7630B3853F22}"/>
    <hyperlink ref="S1" r:id="rId3" xr:uid="{885FA998-5ED9-44A3-A0F1-8874199F4566}"/>
    <hyperlink ref="R1" r:id="rId4" xr:uid="{10D4EEA5-9810-034E-8889-73BE2548332A}"/>
    <hyperlink ref="AB1" r:id="rId5" xr:uid="{097AF3B0-7BBE-48F1-A2C9-FE0198607796}"/>
    <hyperlink ref="M1" r:id="rId6" xr:uid="{240B947B-C305-4D02-B35A-139D4A74064D}"/>
  </hyperlinks>
  <pageMargins left="0.7" right="0.7" top="0.75" bottom="0.75" header="0.3" footer="0.3"/>
  <pageSetup paperSize="256" orientation="portrait" horizontalDpi="203" verticalDpi="203" r:id="rId7"/>
  <ignoredErrors>
    <ignoredError sqref="AB19 V17 V14" formulaRange="1"/>
    <ignoredError sqref="AB4:AB18" formula="1" formulaRange="1"/>
    <ignoredError sqref="AB2:AB3 AC10 AC18 AB47 AB54:AB64" formula="1"/>
  </ignoredErrors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2023-02-04T14:36:44Z</dcterms:created>
  <dcterms:modified xsi:type="dcterms:W3CDTF">2023-02-05T13:34:40Z</dcterms:modified>
</cp:coreProperties>
</file>