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9C01F2B0-0C23-46E2-AF94-955D02866FE0}" xr6:coauthVersionLast="47" xr6:coauthVersionMax="47" xr10:uidLastSave="{00000000-0000-0000-0000-000000000000}"/>
  <bookViews>
    <workbookView xWindow="-120" yWindow="-120" windowWidth="29040" windowHeight="15720" xr2:uid="{D9EF2563-8438-4018-8A7D-0852CA8BC7F2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C35" i="1"/>
  <c r="U18" i="2"/>
  <c r="V18" i="2"/>
  <c r="V24" i="2"/>
  <c r="V23" i="2"/>
  <c r="V22" i="2"/>
  <c r="V21" i="2"/>
  <c r="H24" i="2"/>
  <c r="H23" i="2"/>
  <c r="H22" i="2"/>
  <c r="H21" i="2"/>
  <c r="H19" i="2"/>
  <c r="I19" i="2"/>
  <c r="H15" i="2"/>
  <c r="H16" i="2"/>
  <c r="H13" i="2"/>
  <c r="H11" i="2"/>
  <c r="H10" i="2"/>
  <c r="H8" i="2"/>
  <c r="H7" i="2"/>
  <c r="H5" i="2"/>
  <c r="H4" i="2"/>
  <c r="H6" i="2" s="1"/>
  <c r="V6" i="2"/>
  <c r="V9" i="2" s="1"/>
  <c r="V12" i="2" s="1"/>
  <c r="V14" i="2" s="1"/>
  <c r="V15" i="2" s="1"/>
  <c r="E24" i="2"/>
  <c r="E23" i="2"/>
  <c r="E22" i="2"/>
  <c r="E21" i="2"/>
  <c r="I18" i="2"/>
  <c r="J19" i="2"/>
  <c r="F19" i="2"/>
  <c r="E15" i="2"/>
  <c r="I24" i="2"/>
  <c r="I23" i="2"/>
  <c r="I22" i="2"/>
  <c r="I21" i="2"/>
  <c r="I15" i="2"/>
  <c r="G14" i="2"/>
  <c r="F14" i="2"/>
  <c r="D14" i="2"/>
  <c r="C14" i="2"/>
  <c r="G12" i="2"/>
  <c r="G15" i="2" s="1"/>
  <c r="F12" i="2"/>
  <c r="F23" i="2" s="1"/>
  <c r="D12" i="2"/>
  <c r="C12" i="2"/>
  <c r="G9" i="2"/>
  <c r="F9" i="2"/>
  <c r="D9" i="2"/>
  <c r="C9" i="2"/>
  <c r="I6" i="2"/>
  <c r="I9" i="2" s="1"/>
  <c r="I12" i="2" s="1"/>
  <c r="I14" i="2" s="1"/>
  <c r="G6" i="2"/>
  <c r="F6" i="2"/>
  <c r="F21" i="2" s="1"/>
  <c r="E6" i="2"/>
  <c r="E9" i="2" s="1"/>
  <c r="E12" i="2" s="1"/>
  <c r="E14" i="2" s="1"/>
  <c r="D6" i="2"/>
  <c r="C6" i="2"/>
  <c r="G19" i="2"/>
  <c r="K19" i="2"/>
  <c r="J18" i="2"/>
  <c r="J21" i="2"/>
  <c r="J6" i="2"/>
  <c r="J9" i="2" s="1"/>
  <c r="J12" i="2" s="1"/>
  <c r="J14" i="2" s="1"/>
  <c r="J23" i="2" s="1"/>
  <c r="D11" i="1"/>
  <c r="D10" i="1"/>
  <c r="D9" i="1"/>
  <c r="D7" i="1"/>
  <c r="D29" i="1"/>
  <c r="C27" i="1"/>
  <c r="C34" i="1"/>
  <c r="C10" i="1"/>
  <c r="C9" i="1"/>
  <c r="K60" i="2"/>
  <c r="K59" i="2"/>
  <c r="K58" i="2"/>
  <c r="K56" i="2"/>
  <c r="K55" i="2"/>
  <c r="K53" i="2"/>
  <c r="K50" i="2"/>
  <c r="K45" i="2"/>
  <c r="K39" i="2"/>
  <c r="K33" i="2"/>
  <c r="G21" i="2"/>
  <c r="K18" i="2"/>
  <c r="K22" i="2"/>
  <c r="K21" i="2"/>
  <c r="K9" i="2"/>
  <c r="K12" i="2" s="1"/>
  <c r="K6" i="2"/>
  <c r="C8" i="1"/>
  <c r="H9" i="2" l="1"/>
  <c r="H12" i="2" s="1"/>
  <c r="H14" i="2" s="1"/>
  <c r="F15" i="2"/>
  <c r="G22" i="2"/>
  <c r="J15" i="2"/>
  <c r="F22" i="2"/>
  <c r="G23" i="2"/>
  <c r="G24" i="2"/>
  <c r="J22" i="2"/>
  <c r="F24" i="2"/>
  <c r="J24" i="2"/>
  <c r="K14" i="2"/>
  <c r="K24" i="2"/>
  <c r="C11" i="1"/>
  <c r="C12" i="1" s="1"/>
  <c r="K23" i="2" l="1"/>
  <c r="K15" i="2"/>
</calcChain>
</file>

<file path=xl/sharedStrings.xml><?xml version="1.0" encoding="utf-8"?>
<sst xmlns="http://schemas.openxmlformats.org/spreadsheetml/2006/main" count="118" uniqueCount="106">
  <si>
    <t>$TILE</t>
  </si>
  <si>
    <t>Interface Inc.</t>
  </si>
  <si>
    <t>Design &amp; manufacturer of modular carper products in US &amp; Worldwide (Europe, Africa, Asia, &amp; Australia) EAAA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</si>
  <si>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</si>
  <si>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</si>
  <si>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</si>
  <si>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</si>
  <si>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</si>
  <si>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</si>
  <si>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</si>
  <si>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</si>
  <si>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</si>
  <si>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CFO</t>
  </si>
  <si>
    <t>CEO</t>
  </si>
  <si>
    <t>Chair</t>
  </si>
  <si>
    <t>Profile</t>
  </si>
  <si>
    <t>HQ</t>
  </si>
  <si>
    <t>Founded</t>
  </si>
  <si>
    <t>IPO</t>
  </si>
  <si>
    <t>Inventory</t>
  </si>
  <si>
    <t>Update</t>
  </si>
  <si>
    <t>IR</t>
  </si>
  <si>
    <t>Atlanta, GA</t>
  </si>
  <si>
    <t>Valuation Metrics</t>
  </si>
  <si>
    <t>P/B</t>
  </si>
  <si>
    <t>P/S</t>
  </si>
  <si>
    <t>EV/S</t>
  </si>
  <si>
    <t>P/E</t>
  </si>
  <si>
    <t>EV/E</t>
  </si>
  <si>
    <t>Stockopedia</t>
  </si>
  <si>
    <t>Q324</t>
  </si>
  <si>
    <t>Q224</t>
  </si>
  <si>
    <t>Q124</t>
  </si>
  <si>
    <t>Q424</t>
  </si>
  <si>
    <t>Nov-5-2024</t>
  </si>
  <si>
    <t>Revenue</t>
  </si>
  <si>
    <t>COGS</t>
  </si>
  <si>
    <t>Gross Profit</t>
  </si>
  <si>
    <t>SG&amp;A</t>
  </si>
  <si>
    <t>Restructuring</t>
  </si>
  <si>
    <t>Operating Income</t>
  </si>
  <si>
    <t>Interest Expense</t>
  </si>
  <si>
    <t>Other Expense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</si>
  <si>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</si>
  <si>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</si>
  <si>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</si>
  <si>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</si>
  <si>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</si>
  <si>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</si>
  <si>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</si>
  <si>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</si>
  <si>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</si>
  <si>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</si>
  <si>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Q423</t>
  </si>
  <si>
    <t>Q323</t>
  </si>
  <si>
    <t>Q223</t>
  </si>
  <si>
    <t>Q123</t>
  </si>
  <si>
    <t>Balance Sheet</t>
  </si>
  <si>
    <t>A/R</t>
  </si>
  <si>
    <t>Inventories</t>
  </si>
  <si>
    <t>Prepaid Expenses</t>
  </si>
  <si>
    <t>TCA</t>
  </si>
  <si>
    <t>PP&amp;E</t>
  </si>
  <si>
    <t>Operating Lease ROU</t>
  </si>
  <si>
    <t>Deferred Taxes</t>
  </si>
  <si>
    <t>Goodwill+Intangibles</t>
  </si>
  <si>
    <t>Other Assets</t>
  </si>
  <si>
    <t>Assets</t>
  </si>
  <si>
    <t>A/P</t>
  </si>
  <si>
    <t>Accrued Expenses</t>
  </si>
  <si>
    <t>Current Operating Lease</t>
  </si>
  <si>
    <t>Current Long-Term Debt</t>
  </si>
  <si>
    <t>TCL</t>
  </si>
  <si>
    <t>Long-Term Debt</t>
  </si>
  <si>
    <t>Operating Lease</t>
  </si>
  <si>
    <t>Other Liabilities</t>
  </si>
  <si>
    <t>Liabilities</t>
  </si>
  <si>
    <t>S/E</t>
  </si>
  <si>
    <t>S/E+L</t>
  </si>
  <si>
    <t>Book Value</t>
  </si>
  <si>
    <t>Book Value per Share</t>
  </si>
  <si>
    <t>Inventories Y/Y</t>
  </si>
  <si>
    <t>Share Price</t>
  </si>
  <si>
    <t>Cashflow</t>
  </si>
  <si>
    <t>CFFO</t>
  </si>
  <si>
    <t>Christopher Kennedy</t>
  </si>
  <si>
    <t>Laurel Hurd</t>
  </si>
  <si>
    <t>Bruce Hausmann</t>
  </si>
  <si>
    <t>CCO</t>
  </si>
  <si>
    <t>Jim Poppens</t>
  </si>
  <si>
    <t>Aug-6-2024</t>
  </si>
  <si>
    <t>May-7-2024</t>
  </si>
  <si>
    <t>FY16</t>
  </si>
  <si>
    <t>FY17</t>
  </si>
  <si>
    <t>FY19</t>
  </si>
  <si>
    <t>FY18</t>
  </si>
  <si>
    <t>FY20</t>
  </si>
  <si>
    <t>FY21</t>
  </si>
  <si>
    <t>FY22</t>
  </si>
  <si>
    <t>FY23</t>
  </si>
  <si>
    <t>FY24</t>
  </si>
  <si>
    <t>FY25</t>
  </si>
  <si>
    <t>FY26</t>
  </si>
  <si>
    <t>FY27</t>
  </si>
  <si>
    <t>Feb-28-2023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</si>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</sst>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3" fontId="1" fillId="0" borderId="0" xfId="0" applyNumberFormat="1" applyFont="1" applyBorder="1"/>
    <xf numFmtId="3" fontId="1" fillId="0" borderId="7" xfId="0" applyNumberFormat="1" applyFont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1" applyFont="1" applyAlignment="1">
      <alignment horizontal="right"/>
    </xf>
    <xf numFmtId="9" fontId="2" fillId="0" borderId="0" xfId="0" applyNumberFormat="1" applyFont="1"/>
    <xf numFmtId="9" fontId="1" fillId="0" borderId="0" xfId="0" applyNumberFormat="1" applyFont="1"/>
    <xf numFmtId="14" fontId="4" fillId="0" borderId="0" xfId="0" applyNumberFormat="1" applyFont="1" applyAlignment="1">
      <alignment horizontal="right"/>
    </xf>
    <xf numFmtId="1" fontId="1" fillId="0" borderId="0" xfId="0" applyNumberFormat="1" applyFont="1"/>
    <xf numFmtId="1" fontId="2" fillId="0" borderId="0" xfId="0" applyNumberFormat="1" applyFont="1"/>
    <xf numFmtId="2" fontId="1" fillId="0" borderId="0" xfId="0" applyNumberFormat="1" applyFont="1"/>
    <xf numFmtId="0" fontId="7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70" fontId="1" fillId="4" borderId="0" xfId="0" applyNumberFormat="1" applyFont="1" applyFill="1" applyBorder="1" applyAlignment="1">
      <alignment horizontal="center"/>
    </xf>
    <xf numFmtId="170" fontId="1" fillId="4" borderId="5" xfId="0" applyNumberFormat="1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0</xdr:row>
      <xdr:rowOff>47625</xdr:rowOff>
    </xdr:from>
    <xdr:to>
      <xdr:col>3</xdr:col>
      <xdr:colOff>361950</xdr:colOff>
      <xdr:row>3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618634-8481-3CD7-5E54-015F322F1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47625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ix?doc=/Archives/edgar/data/715787/000071578724000019/tile-20240331.htm" TargetMode="External"/><Relationship Id="rId2" Type="http://schemas.openxmlformats.org/officeDocument/2006/relationships/hyperlink" Target="https://www.sec.gov/ix?doc=/Archives/edgar/data/715787/000071578724000027/tile-20240630.htm" TargetMode="External"/><Relationship Id="rId1" Type="http://schemas.openxmlformats.org/officeDocument/2006/relationships/hyperlink" Target="https://www.sec.gov/ix?doc=/Archives/edgar/data/715787/000071578724000035/tile-20240929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ec.gov/ix?doc=/Archives/edgar/data/715787/000071578724000005/tile-20231231.htm" TargetMode="External"/><Relationship Id="rId4" Type="http://schemas.openxmlformats.org/officeDocument/2006/relationships/hyperlink" Target="https://www.sec.gov/ix?doc=/Archives/edgar/data/715787/000071578724000005/tile-2023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2695-01FE-4BCA-B56F-5FDAC4AB696D}">
  <dimension ref="A2:E39"/>
  <sheetViews>
    <sheetView tabSelected="1" workbookViewId="0">
      <selection activeCell="J5" sqref="I5:J9"/>
    </sheetView>
  </sheetViews>
  <sheetFormatPr defaultRowHeight="12.75" x14ac:dyDescent="0.2"/>
  <cols>
    <col min="1" max="16384" width="9.140625" style="1"/>
  </cols>
  <sheetData>
    <row r="2" spans="1:5" x14ac:dyDescent="0.2">
      <c r="B2" s="2" t="s">
        <v>0</v>
      </c>
      <c r="E2" s="1" t="s">
        <v>2</v>
      </c>
    </row>
    <row r="3" spans="1:5" x14ac:dyDescent="0.2">
      <c r="B3" s="2" t="s">
        <v>1</v>
      </c>
    </row>
    <row r="5" spans="1:5" x14ac:dyDescent="0.2">
      <c r="B5" s="3" t="s">
        <v>3</v>
      </c>
      <c r="C5" s="4"/>
      <c r="D5" s="5"/>
    </row>
    <row r="6" spans="1:5" x14ac:dyDescent="0.2">
      <c r="B6" s="6" t="s">
        <v>4</v>
      </c>
      <c r="C6" s="7">
        <v>23.16</v>
      </c>
      <c r="D6" s="9"/>
    </row>
    <row r="7" spans="1:5" x14ac:dyDescent="0.2">
      <c r="B7" s="6" t="s">
        <v>5</v>
      </c>
      <c r="C7" s="7">
        <v>58.3</v>
      </c>
      <c r="D7" s="9" t="str">
        <f>+$C$29</f>
        <v>Q324</v>
      </c>
    </row>
    <row r="8" spans="1:5" x14ac:dyDescent="0.2">
      <c r="B8" s="6" t="s">
        <v>6</v>
      </c>
      <c r="C8" s="19">
        <f>C6*C7</f>
        <v>1350.2279999999998</v>
      </c>
      <c r="D8" s="9"/>
    </row>
    <row r="9" spans="1:5" x14ac:dyDescent="0.2">
      <c r="B9" s="6" t="s">
        <v>7</v>
      </c>
      <c r="C9" s="19">
        <f>+'Financial Model'!K58</f>
        <v>115.601</v>
      </c>
      <c r="D9" s="9" t="str">
        <f t="shared" ref="D9:D11" si="0">+$C$29</f>
        <v>Q324</v>
      </c>
    </row>
    <row r="10" spans="1:5" x14ac:dyDescent="0.2">
      <c r="B10" s="6" t="s">
        <v>8</v>
      </c>
      <c r="C10" s="19">
        <f>+'Financial Model'!K59</f>
        <v>337.94</v>
      </c>
      <c r="D10" s="9" t="str">
        <f t="shared" si="0"/>
        <v>Q324</v>
      </c>
    </row>
    <row r="11" spans="1:5" x14ac:dyDescent="0.2">
      <c r="B11" s="6" t="s">
        <v>9</v>
      </c>
      <c r="C11" s="19">
        <f>C9-C10</f>
        <v>-222.339</v>
      </c>
      <c r="D11" s="9" t="str">
        <f t="shared" si="0"/>
        <v>Q324</v>
      </c>
    </row>
    <row r="12" spans="1:5" x14ac:dyDescent="0.2">
      <c r="B12" s="8" t="s">
        <v>10</v>
      </c>
      <c r="C12" s="20">
        <f>C8-C11</f>
        <v>1572.5669999999998</v>
      </c>
      <c r="D12" s="10"/>
    </row>
    <row r="15" spans="1:5" x14ac:dyDescent="0.2">
      <c r="B15" s="3" t="s">
        <v>11</v>
      </c>
      <c r="C15" s="4"/>
      <c r="D15" s="5"/>
    </row>
    <row r="16" spans="1:5" x14ac:dyDescent="0.2">
      <c r="A16" s="1">
        <v>2022</v>
      </c>
      <c r="B16" s="11" t="s">
        <v>13</v>
      </c>
      <c r="C16" s="14" t="s">
        <v>86</v>
      </c>
      <c r="D16" s="15"/>
    </row>
    <row r="17" spans="1:4" x14ac:dyDescent="0.2">
      <c r="A17" s="1">
        <v>2017</v>
      </c>
      <c r="B17" s="11" t="s">
        <v>12</v>
      </c>
      <c r="C17" s="14" t="s">
        <v>87</v>
      </c>
      <c r="D17" s="15"/>
    </row>
    <row r="18" spans="1:4" x14ac:dyDescent="0.2">
      <c r="A18" s="1">
        <v>2023</v>
      </c>
      <c r="B18" s="11" t="s">
        <v>88</v>
      </c>
      <c r="C18" s="14" t="s">
        <v>89</v>
      </c>
      <c r="D18" s="15"/>
    </row>
    <row r="19" spans="1:4" x14ac:dyDescent="0.2">
      <c r="A19" s="1">
        <v>2024</v>
      </c>
      <c r="B19" s="12" t="s">
        <v>14</v>
      </c>
      <c r="C19" s="17" t="s">
        <v>85</v>
      </c>
      <c r="D19" s="18"/>
    </row>
    <row r="22" spans="1:4" x14ac:dyDescent="0.2">
      <c r="B22" s="3" t="s">
        <v>15</v>
      </c>
      <c r="C22" s="4"/>
      <c r="D22" s="5"/>
    </row>
    <row r="23" spans="1:4" x14ac:dyDescent="0.2">
      <c r="B23" s="13" t="s">
        <v>16</v>
      </c>
      <c r="C23" s="14" t="s">
        <v>22</v>
      </c>
      <c r="D23" s="15"/>
    </row>
    <row r="24" spans="1:4" x14ac:dyDescent="0.2">
      <c r="B24" s="13" t="s">
        <v>17</v>
      </c>
      <c r="C24" s="14">
        <v>1973</v>
      </c>
      <c r="D24" s="15"/>
    </row>
    <row r="25" spans="1:4" x14ac:dyDescent="0.2">
      <c r="B25" s="13" t="s">
        <v>18</v>
      </c>
      <c r="C25" s="14"/>
      <c r="D25" s="15"/>
    </row>
    <row r="26" spans="1:4" x14ac:dyDescent="0.2">
      <c r="B26" s="13"/>
      <c r="C26" s="14"/>
      <c r="D26" s="15"/>
    </row>
    <row r="27" spans="1:4" x14ac:dyDescent="0.2">
      <c r="B27" s="13" t="s">
        <v>19</v>
      </c>
      <c r="C27" s="38">
        <f>'Financial Model'!K31</f>
        <v>283.096</v>
      </c>
      <c r="D27" s="15"/>
    </row>
    <row r="28" spans="1:4" x14ac:dyDescent="0.2">
      <c r="B28" s="13"/>
      <c r="C28" s="14"/>
      <c r="D28" s="15"/>
    </row>
    <row r="29" spans="1:4" x14ac:dyDescent="0.2">
      <c r="B29" s="13" t="s">
        <v>20</v>
      </c>
      <c r="C29" s="34" t="s">
        <v>30</v>
      </c>
      <c r="D29" s="35" t="str">
        <f>+'Financial Model'!K3</f>
        <v>Nov-5-2024</v>
      </c>
    </row>
    <row r="30" spans="1:4" x14ac:dyDescent="0.2">
      <c r="B30" s="16" t="s">
        <v>21</v>
      </c>
      <c r="C30" s="17"/>
      <c r="D30" s="18"/>
    </row>
    <row r="33" spans="2:4" x14ac:dyDescent="0.2">
      <c r="B33" s="3" t="s">
        <v>23</v>
      </c>
      <c r="C33" s="4"/>
      <c r="D33" s="5"/>
    </row>
    <row r="34" spans="2:4" x14ac:dyDescent="0.2">
      <c r="B34" s="13" t="s">
        <v>24</v>
      </c>
      <c r="C34" s="36">
        <f>C6/'Financial Model'!K56</f>
        <v>2.6922715591062332</v>
      </c>
      <c r="D34" s="37"/>
    </row>
    <row r="35" spans="2:4" x14ac:dyDescent="0.2">
      <c r="B35" s="13" t="s">
        <v>25</v>
      </c>
      <c r="C35" s="36">
        <f>C8/SUM('Financial Model'!H4:K4)</f>
        <v>1.0340505113473621</v>
      </c>
      <c r="D35" s="37"/>
    </row>
    <row r="36" spans="2:4" x14ac:dyDescent="0.2">
      <c r="B36" s="13" t="s">
        <v>26</v>
      </c>
      <c r="C36" s="36"/>
      <c r="D36" s="37"/>
    </row>
    <row r="37" spans="2:4" x14ac:dyDescent="0.2">
      <c r="B37" s="13" t="s">
        <v>27</v>
      </c>
      <c r="C37" s="36">
        <f>C6/SUM('Financial Model'!H15:K15)</f>
        <v>15.917802176180279</v>
      </c>
      <c r="D37" s="37"/>
    </row>
    <row r="38" spans="2:4" x14ac:dyDescent="0.2">
      <c r="B38" s="13" t="s">
        <v>28</v>
      </c>
      <c r="C38" s="36"/>
      <c r="D38" s="37"/>
    </row>
    <row r="39" spans="2:4" x14ac:dyDescent="0.2">
      <c r="B39" s="16" t="s">
        <v>29</v>
      </c>
      <c r="C39" s="17">
        <v>96</v>
      </c>
      <c r="D39" s="18"/>
    </row>
  </sheetData>
  <mergeCells count="21">
    <mergeCell ref="C34:D34"/>
    <mergeCell ref="C35:D35"/>
    <mergeCell ref="C36:D36"/>
    <mergeCell ref="C37:D37"/>
    <mergeCell ref="C38:D38"/>
    <mergeCell ref="C39:D39"/>
    <mergeCell ref="C26:D26"/>
    <mergeCell ref="C27:D27"/>
    <mergeCell ref="C28:D28"/>
    <mergeCell ref="C30:D30"/>
    <mergeCell ref="B33:D33"/>
    <mergeCell ref="B5:D5"/>
    <mergeCell ref="B15:D15"/>
    <mergeCell ref="B22:D22"/>
    <mergeCell ref="C23:D23"/>
    <mergeCell ref="C24:D24"/>
    <mergeCell ref="C25:D25"/>
    <mergeCell ref="C16:D16"/>
    <mergeCell ref="C17:D17"/>
    <mergeCell ref="C18:D18"/>
    <mergeCell ref="C19:D19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D0E8-05AB-4CAE-93E8-927C6BC065AE}">
  <dimension ref="B1:Z7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25" sqref="N25"/>
    </sheetView>
  </sheetViews>
  <sheetFormatPr defaultRowHeight="12.75" x14ac:dyDescent="0.2"/>
  <cols>
    <col min="1" max="1" width="4.28515625" style="1" customWidth="1"/>
    <col min="2" max="2" width="17.5703125" style="1" bestFit="1" customWidth="1"/>
    <col min="3" max="16384" width="9.140625" style="1"/>
  </cols>
  <sheetData>
    <row r="1" spans="2:26" s="21" customFormat="1" x14ac:dyDescent="0.2">
      <c r="E1" s="21" t="s">
        <v>56</v>
      </c>
      <c r="F1" s="21" t="s">
        <v>55</v>
      </c>
      <c r="G1" s="21" t="s">
        <v>54</v>
      </c>
      <c r="H1" s="24" t="s">
        <v>53</v>
      </c>
      <c r="I1" s="24" t="s">
        <v>32</v>
      </c>
      <c r="J1" s="24" t="s">
        <v>31</v>
      </c>
      <c r="K1" s="24" t="s">
        <v>30</v>
      </c>
      <c r="L1" s="21" t="s">
        <v>33</v>
      </c>
      <c r="O1" s="21" t="s">
        <v>92</v>
      </c>
      <c r="P1" s="21" t="s">
        <v>93</v>
      </c>
      <c r="Q1" s="21" t="s">
        <v>95</v>
      </c>
      <c r="R1" s="21" t="s">
        <v>94</v>
      </c>
      <c r="S1" s="21" t="s">
        <v>96</v>
      </c>
      <c r="T1" s="21" t="s">
        <v>97</v>
      </c>
      <c r="U1" s="21" t="s">
        <v>98</v>
      </c>
      <c r="V1" s="24" t="s">
        <v>99</v>
      </c>
      <c r="W1" s="21" t="s">
        <v>100</v>
      </c>
      <c r="X1" s="21" t="s">
        <v>101</v>
      </c>
      <c r="Y1" s="21" t="s">
        <v>102</v>
      </c>
      <c r="Z1" s="21" t="s">
        <v>103</v>
      </c>
    </row>
    <row r="2" spans="2:26" s="23" customFormat="1" x14ac:dyDescent="0.2">
      <c r="B2" s="22"/>
      <c r="E2" s="27">
        <v>45018</v>
      </c>
      <c r="H2" s="27">
        <v>45291</v>
      </c>
      <c r="I2" s="27">
        <v>45382</v>
      </c>
      <c r="J2" s="27">
        <v>45473</v>
      </c>
      <c r="K2" s="27">
        <v>45564</v>
      </c>
      <c r="V2" s="27">
        <v>45291</v>
      </c>
    </row>
    <row r="3" spans="2:26" s="23" customFormat="1" x14ac:dyDescent="0.2">
      <c r="B3" s="22"/>
      <c r="H3" s="23" t="s">
        <v>104</v>
      </c>
      <c r="I3" s="23" t="s">
        <v>91</v>
      </c>
      <c r="J3" s="23" t="s">
        <v>90</v>
      </c>
      <c r="K3" s="23" t="s">
        <v>34</v>
      </c>
      <c r="V3" s="23" t="s">
        <v>104</v>
      </c>
    </row>
    <row r="4" spans="2:26" s="29" customFormat="1" x14ac:dyDescent="0.2">
      <c r="B4" s="29" t="s">
        <v>35</v>
      </c>
      <c r="E4" s="29">
        <v>295.79199999999997</v>
      </c>
      <c r="F4" s="29">
        <v>329.58199999999999</v>
      </c>
      <c r="G4" s="29">
        <v>311.00599999999997</v>
      </c>
      <c r="H4" s="29">
        <f>V4-SUM(E4:G4)</f>
        <v>325.11800000000005</v>
      </c>
      <c r="I4" s="29">
        <v>289.74299999999999</v>
      </c>
      <c r="J4" s="29">
        <v>346.63499999999999</v>
      </c>
      <c r="K4" s="29">
        <v>344.27</v>
      </c>
      <c r="O4" s="32"/>
      <c r="P4" s="32"/>
      <c r="Q4" s="32"/>
      <c r="R4" s="32"/>
      <c r="S4" s="32"/>
      <c r="T4" s="32">
        <v>1200.3979999999999</v>
      </c>
      <c r="U4" s="32">
        <v>1297.9190000000001</v>
      </c>
      <c r="V4" s="32">
        <v>1261.498</v>
      </c>
    </row>
    <row r="5" spans="2:26" s="28" customFormat="1" x14ac:dyDescent="0.2">
      <c r="B5" s="28" t="s">
        <v>36</v>
      </c>
      <c r="E5" s="28">
        <v>199.91900000000001</v>
      </c>
      <c r="F5" s="28">
        <v>217.79599999999999</v>
      </c>
      <c r="G5" s="28">
        <v>200.74799999999999</v>
      </c>
      <c r="H5" s="28">
        <f>V5-SUM(E5:G5)</f>
        <v>201.96600000000001</v>
      </c>
      <c r="I5" s="28">
        <v>179.33799999999999</v>
      </c>
      <c r="J5" s="28">
        <v>224.02199999999999</v>
      </c>
      <c r="K5" s="28">
        <v>216.64500000000001</v>
      </c>
      <c r="O5" s="33"/>
      <c r="P5" s="33"/>
      <c r="Q5" s="33"/>
      <c r="R5" s="33"/>
      <c r="S5" s="33"/>
      <c r="T5" s="33"/>
      <c r="U5" s="33"/>
      <c r="V5" s="33">
        <v>820.42899999999997</v>
      </c>
    </row>
    <row r="6" spans="2:26" s="29" customFormat="1" x14ac:dyDescent="0.2">
      <c r="B6" s="29" t="s">
        <v>37</v>
      </c>
      <c r="C6" s="29">
        <f t="shared" ref="C6" si="0">C4-C5</f>
        <v>0</v>
      </c>
      <c r="D6" s="29">
        <f t="shared" ref="D6" si="1">D4-D5</f>
        <v>0</v>
      </c>
      <c r="E6" s="29">
        <f t="shared" ref="E6" si="2">E4-E5</f>
        <v>95.872999999999962</v>
      </c>
      <c r="F6" s="29">
        <f t="shared" ref="F6" si="3">F4-F5</f>
        <v>111.786</v>
      </c>
      <c r="G6" s="29">
        <f t="shared" ref="G6" si="4">G4-G5</f>
        <v>110.25799999999998</v>
      </c>
      <c r="H6" s="29">
        <f t="shared" ref="H6" si="5">H4-H5</f>
        <v>123.15200000000004</v>
      </c>
      <c r="I6" s="29">
        <f t="shared" ref="I6" si="6">I4-I5</f>
        <v>110.405</v>
      </c>
      <c r="J6" s="29">
        <f t="shared" ref="J6" si="7">J4-J5</f>
        <v>122.613</v>
      </c>
      <c r="K6" s="29">
        <f>K4-K5</f>
        <v>127.62499999999997</v>
      </c>
      <c r="O6" s="32"/>
      <c r="P6" s="32"/>
      <c r="Q6" s="32"/>
      <c r="R6" s="32"/>
      <c r="S6" s="32"/>
      <c r="T6" s="32"/>
      <c r="U6" s="32"/>
      <c r="V6" s="32">
        <f>V4-V5</f>
        <v>441.06900000000007</v>
      </c>
    </row>
    <row r="7" spans="2:26" s="28" customFormat="1" x14ac:dyDescent="0.2">
      <c r="B7" s="28" t="s">
        <v>38</v>
      </c>
      <c r="E7" s="28">
        <v>86.254000000000005</v>
      </c>
      <c r="F7" s="28">
        <v>85.522000000000006</v>
      </c>
      <c r="G7" s="28">
        <v>79.272999999999996</v>
      </c>
      <c r="H7" s="28">
        <f>V7-SUM(E7:G7)</f>
        <v>87.999999999999972</v>
      </c>
      <c r="I7" s="28">
        <v>85.959000000000003</v>
      </c>
      <c r="J7" s="28">
        <v>84.462000000000003</v>
      </c>
      <c r="K7" s="28">
        <v>85.45</v>
      </c>
      <c r="O7" s="33"/>
      <c r="P7" s="33"/>
      <c r="Q7" s="33"/>
      <c r="R7" s="33"/>
      <c r="S7" s="33"/>
      <c r="T7" s="33"/>
      <c r="U7" s="33"/>
      <c r="V7" s="33">
        <v>339.04899999999998</v>
      </c>
    </row>
    <row r="8" spans="2:26" s="28" customFormat="1" x14ac:dyDescent="0.2">
      <c r="B8" s="28" t="s">
        <v>39</v>
      </c>
      <c r="E8" s="28">
        <v>0.14199999999999999</v>
      </c>
      <c r="F8" s="28">
        <v>-2.6440000000000001</v>
      </c>
      <c r="G8" s="28">
        <v>0</v>
      </c>
      <c r="H8" s="28">
        <f>V8-SUM(E8:G8)</f>
        <v>0</v>
      </c>
      <c r="I8" s="28">
        <v>0</v>
      </c>
      <c r="J8" s="28">
        <v>0</v>
      </c>
      <c r="K8" s="28">
        <v>0</v>
      </c>
      <c r="O8" s="33"/>
      <c r="P8" s="33"/>
      <c r="Q8" s="33"/>
      <c r="R8" s="33"/>
      <c r="S8" s="33"/>
      <c r="T8" s="33"/>
      <c r="U8" s="33"/>
      <c r="V8" s="33">
        <v>-2.5019999999999998</v>
      </c>
    </row>
    <row r="9" spans="2:26" s="29" customFormat="1" x14ac:dyDescent="0.2">
      <c r="B9" s="29" t="s">
        <v>40</v>
      </c>
      <c r="C9" s="29">
        <f t="shared" ref="C9:I9" si="8">C6-C7-C8</f>
        <v>0</v>
      </c>
      <c r="D9" s="29">
        <f t="shared" si="8"/>
        <v>0</v>
      </c>
      <c r="E9" s="29">
        <f t="shared" si="8"/>
        <v>9.4769999999999577</v>
      </c>
      <c r="F9" s="29">
        <f t="shared" si="8"/>
        <v>28.907999999999994</v>
      </c>
      <c r="G9" s="29">
        <f t="shared" si="8"/>
        <v>30.984999999999985</v>
      </c>
      <c r="H9" s="29">
        <f t="shared" si="8"/>
        <v>35.152000000000072</v>
      </c>
      <c r="I9" s="29">
        <f t="shared" si="8"/>
        <v>24.445999999999998</v>
      </c>
      <c r="J9" s="29">
        <f>J6-J7-J8</f>
        <v>38.150999999999996</v>
      </c>
      <c r="K9" s="29">
        <f>K6-K7-K8</f>
        <v>42.174999999999969</v>
      </c>
      <c r="O9" s="32"/>
      <c r="P9" s="32"/>
      <c r="Q9" s="32"/>
      <c r="R9" s="32"/>
      <c r="S9" s="32"/>
      <c r="T9" s="32"/>
      <c r="U9" s="32"/>
      <c r="V9" s="32">
        <f>V6-V7-V8</f>
        <v>104.52200000000009</v>
      </c>
    </row>
    <row r="10" spans="2:26" s="28" customFormat="1" x14ac:dyDescent="0.2">
      <c r="B10" s="28" t="s">
        <v>41</v>
      </c>
      <c r="E10" s="28">
        <v>8.5050000000000008</v>
      </c>
      <c r="F10" s="28">
        <v>8.3179999999999996</v>
      </c>
      <c r="G10" s="28">
        <v>8.1630000000000003</v>
      </c>
      <c r="H10" s="28">
        <f>V10-SUM(E10:G10)</f>
        <v>6.8009999999999984</v>
      </c>
      <c r="I10" s="28">
        <v>6.423</v>
      </c>
      <c r="J10" s="28">
        <v>6.173</v>
      </c>
      <c r="K10" s="28">
        <v>5.7210000000000001</v>
      </c>
      <c r="O10" s="33"/>
      <c r="P10" s="33"/>
      <c r="Q10" s="33"/>
      <c r="R10" s="33"/>
      <c r="S10" s="33"/>
      <c r="T10" s="33"/>
      <c r="U10" s="33"/>
      <c r="V10" s="33">
        <v>31.786999999999999</v>
      </c>
    </row>
    <row r="11" spans="2:26" s="28" customFormat="1" x14ac:dyDescent="0.2">
      <c r="B11" s="28" t="s">
        <v>42</v>
      </c>
      <c r="E11" s="28">
        <v>1.5</v>
      </c>
      <c r="F11" s="28">
        <v>-0.52800000000000002</v>
      </c>
      <c r="G11" s="28">
        <v>6.702</v>
      </c>
      <c r="H11" s="28">
        <f>V11-SUM(E11:G11)</f>
        <v>1.407</v>
      </c>
      <c r="I11" s="28">
        <v>-0.97599999999999998</v>
      </c>
      <c r="J11" s="28">
        <v>0.83199999999999996</v>
      </c>
      <c r="K11" s="28">
        <v>0.38100000000000001</v>
      </c>
      <c r="O11" s="33"/>
      <c r="P11" s="33"/>
      <c r="Q11" s="33"/>
      <c r="R11" s="33"/>
      <c r="S11" s="33"/>
      <c r="T11" s="33"/>
      <c r="U11" s="33"/>
      <c r="V11" s="33">
        <v>9.0809999999999995</v>
      </c>
    </row>
    <row r="12" spans="2:26" s="28" customFormat="1" x14ac:dyDescent="0.2">
      <c r="B12" s="28" t="s">
        <v>43</v>
      </c>
      <c r="C12" s="28">
        <f t="shared" ref="C12:I12" si="9">C9-C10-C11</f>
        <v>0</v>
      </c>
      <c r="D12" s="28">
        <f t="shared" si="9"/>
        <v>0</v>
      </c>
      <c r="E12" s="28">
        <f t="shared" si="9"/>
        <v>-0.5280000000000431</v>
      </c>
      <c r="F12" s="28">
        <f t="shared" si="9"/>
        <v>21.117999999999995</v>
      </c>
      <c r="G12" s="28">
        <f t="shared" si="9"/>
        <v>16.119999999999983</v>
      </c>
      <c r="H12" s="28">
        <f t="shared" si="9"/>
        <v>26.944000000000074</v>
      </c>
      <c r="I12" s="28">
        <f t="shared" si="9"/>
        <v>18.998999999999995</v>
      </c>
      <c r="J12" s="28">
        <f>J9-J10-J11</f>
        <v>31.145999999999994</v>
      </c>
      <c r="K12" s="28">
        <f>K9-K10-K11</f>
        <v>36.072999999999965</v>
      </c>
      <c r="O12" s="33"/>
      <c r="P12" s="33"/>
      <c r="Q12" s="33"/>
      <c r="R12" s="33"/>
      <c r="S12" s="33"/>
      <c r="T12" s="33"/>
      <c r="U12" s="33"/>
      <c r="V12" s="33">
        <f>V9-V10-V11</f>
        <v>63.654000000000096</v>
      </c>
    </row>
    <row r="13" spans="2:26" s="28" customFormat="1" x14ac:dyDescent="0.2">
      <c r="B13" s="28" t="s">
        <v>44</v>
      </c>
      <c r="E13" s="28">
        <v>0.186</v>
      </c>
      <c r="F13" s="28">
        <v>5.3209999999999997</v>
      </c>
      <c r="G13" s="28">
        <v>6.2409999999999997</v>
      </c>
      <c r="H13" s="28">
        <f>V13-SUM(E13:G13)</f>
        <v>7.3890000000000011</v>
      </c>
      <c r="I13" s="28">
        <v>4.82</v>
      </c>
      <c r="J13" s="28">
        <v>8.5879999999999992</v>
      </c>
      <c r="K13" s="28">
        <v>7.63</v>
      </c>
      <c r="O13" s="33"/>
      <c r="P13" s="33"/>
      <c r="Q13" s="33"/>
      <c r="R13" s="33"/>
      <c r="S13" s="33"/>
      <c r="T13" s="33"/>
      <c r="U13" s="33"/>
      <c r="V13" s="33">
        <v>19.137</v>
      </c>
    </row>
    <row r="14" spans="2:26" s="29" customFormat="1" x14ac:dyDescent="0.2">
      <c r="B14" s="29" t="s">
        <v>45</v>
      </c>
      <c r="C14" s="29">
        <f t="shared" ref="C14:I14" si="10">C12-C13</f>
        <v>0</v>
      </c>
      <c r="D14" s="29">
        <f t="shared" si="10"/>
        <v>0</v>
      </c>
      <c r="E14" s="29">
        <f t="shared" si="10"/>
        <v>-0.71400000000004304</v>
      </c>
      <c r="F14" s="29">
        <f t="shared" si="10"/>
        <v>15.796999999999995</v>
      </c>
      <c r="G14" s="29">
        <f t="shared" si="10"/>
        <v>9.8789999999999836</v>
      </c>
      <c r="H14" s="29">
        <f t="shared" si="10"/>
        <v>19.555000000000071</v>
      </c>
      <c r="I14" s="29">
        <f t="shared" si="10"/>
        <v>14.178999999999995</v>
      </c>
      <c r="J14" s="29">
        <f>J12-J13</f>
        <v>22.557999999999993</v>
      </c>
      <c r="K14" s="29">
        <f>K12-K13</f>
        <v>28.442999999999966</v>
      </c>
      <c r="O14" s="32"/>
      <c r="P14" s="32"/>
      <c r="Q14" s="32"/>
      <c r="R14" s="32"/>
      <c r="S14" s="32"/>
      <c r="T14" s="32"/>
      <c r="U14" s="32"/>
      <c r="V14" s="32">
        <f>V12-V13</f>
        <v>44.517000000000095</v>
      </c>
    </row>
    <row r="15" spans="2:26" s="30" customFormat="1" x14ac:dyDescent="0.2">
      <c r="B15" s="30" t="s">
        <v>46</v>
      </c>
      <c r="E15" s="30">
        <f>E14/E16</f>
        <v>-1.2293600096421133E-2</v>
      </c>
      <c r="F15" s="30">
        <f>F14/F16</f>
        <v>0.27201501532527456</v>
      </c>
      <c r="G15" s="30">
        <f>G14/G16</f>
        <v>0.17001393980071219</v>
      </c>
      <c r="H15" s="30">
        <f>H14/H16</f>
        <v>0.33662122151070839</v>
      </c>
      <c r="I15" s="30">
        <f>I14/I16</f>
        <v>0.24346646519454643</v>
      </c>
      <c r="J15" s="30">
        <f>J14/J16</f>
        <v>0.38705581578902204</v>
      </c>
      <c r="K15" s="30">
        <f>K14/K16</f>
        <v>0.48783123231283709</v>
      </c>
      <c r="V15" s="30">
        <f>V14/V16</f>
        <v>0.76631894236728115</v>
      </c>
    </row>
    <row r="16" spans="2:26" s="28" customFormat="1" x14ac:dyDescent="0.2">
      <c r="B16" s="28" t="s">
        <v>5</v>
      </c>
      <c r="E16" s="28">
        <v>58.079000000000001</v>
      </c>
      <c r="F16" s="28">
        <v>58.073999999999998</v>
      </c>
      <c r="G16" s="28">
        <v>58.106999999999999</v>
      </c>
      <c r="H16" s="28">
        <f>V16</f>
        <v>58.091999999999999</v>
      </c>
      <c r="I16" s="28">
        <v>58.238</v>
      </c>
      <c r="J16" s="28">
        <v>58.280999999999999</v>
      </c>
      <c r="K16" s="28">
        <v>58.305</v>
      </c>
      <c r="V16" s="28">
        <v>58.091999999999999</v>
      </c>
    </row>
    <row r="18" spans="2:22" s="25" customFormat="1" x14ac:dyDescent="0.2">
      <c r="B18" s="25" t="s">
        <v>47</v>
      </c>
      <c r="I18" s="25">
        <f>I4/E4-1</f>
        <v>-2.0450181208416685E-2</v>
      </c>
      <c r="J18" s="25">
        <f>J4/F4-1</f>
        <v>5.174129655138926E-2</v>
      </c>
      <c r="K18" s="25">
        <f>K4/G4-1</f>
        <v>0.10695613589448438</v>
      </c>
      <c r="U18" s="25">
        <f>U4/T4-1</f>
        <v>8.1240555215853494E-2</v>
      </c>
      <c r="V18" s="25">
        <f>V4/U4-1</f>
        <v>-2.8061073148632598E-2</v>
      </c>
    </row>
    <row r="19" spans="2:22" s="26" customFormat="1" x14ac:dyDescent="0.2">
      <c r="B19" s="26" t="s">
        <v>48</v>
      </c>
      <c r="F19" s="26">
        <f>F4/E4-1</f>
        <v>0.11423567912587229</v>
      </c>
      <c r="G19" s="26">
        <f>G4/F4-1</f>
        <v>-5.6362301339272225E-2</v>
      </c>
      <c r="H19" s="26">
        <f>H4/G4-1</f>
        <v>4.5375330379478385E-2</v>
      </c>
      <c r="I19" s="26">
        <f>I4/H4-1</f>
        <v>-0.1088066486629472</v>
      </c>
      <c r="J19" s="26">
        <f>J4/I4-1</f>
        <v>0.19635332001118222</v>
      </c>
      <c r="K19" s="26">
        <f>K4/J4-1</f>
        <v>-6.8227386155466085E-3</v>
      </c>
      <c r="T19" s="39" t="s">
        <v>105</v>
      </c>
      <c r="U19" s="39" t="s">
        <v>105</v>
      </c>
      <c r="V19" s="39" t="s">
        <v>105</v>
      </c>
    </row>
    <row r="21" spans="2:22" x14ac:dyDescent="0.2">
      <c r="B21" s="1" t="s">
        <v>49</v>
      </c>
      <c r="E21" s="26">
        <f>E6/E4</f>
        <v>0.32412303240114665</v>
      </c>
      <c r="F21" s="26">
        <f>F6/F4</f>
        <v>0.33917507630877902</v>
      </c>
      <c r="G21" s="26">
        <f>G6/G4</f>
        <v>0.35452049156607907</v>
      </c>
      <c r="H21" s="26">
        <f>H6/H4</f>
        <v>0.3787917002442191</v>
      </c>
      <c r="I21" s="26">
        <f>I6/I4</f>
        <v>0.38104458088720006</v>
      </c>
      <c r="J21" s="26">
        <f>J6/J4</f>
        <v>0.35372365744947859</v>
      </c>
      <c r="K21" s="26">
        <f>K6/K4</f>
        <v>0.3707119412089348</v>
      </c>
      <c r="V21" s="26">
        <f>V6/V4</f>
        <v>0.34963907988756227</v>
      </c>
    </row>
    <row r="22" spans="2:22" x14ac:dyDescent="0.2">
      <c r="B22" s="1" t="s">
        <v>50</v>
      </c>
      <c r="E22" s="26">
        <f>E9/E4</f>
        <v>3.2039406069129521E-2</v>
      </c>
      <c r="F22" s="26">
        <f>F9/F4</f>
        <v>8.7711100727588268E-2</v>
      </c>
      <c r="G22" s="26">
        <f>G9/G4</f>
        <v>9.9628302990939041E-2</v>
      </c>
      <c r="H22" s="26">
        <f>H9/H4</f>
        <v>0.10812074385300127</v>
      </c>
      <c r="I22" s="26">
        <f>I9/I4</f>
        <v>8.4371322171717694E-2</v>
      </c>
      <c r="J22" s="26">
        <f>J9/J4</f>
        <v>0.11006101518888743</v>
      </c>
      <c r="K22" s="26">
        <f>K9/K4</f>
        <v>0.12250559154152256</v>
      </c>
      <c r="V22" s="26">
        <f>V9/V4</f>
        <v>8.285546231543775E-2</v>
      </c>
    </row>
    <row r="23" spans="2:22" x14ac:dyDescent="0.2">
      <c r="B23" s="1" t="s">
        <v>51</v>
      </c>
      <c r="E23" s="26">
        <f>E14/E4</f>
        <v>-2.4138583869747765E-3</v>
      </c>
      <c r="F23" s="26">
        <f>F14/F4</f>
        <v>4.793040882087006E-2</v>
      </c>
      <c r="G23" s="26">
        <f>G14/G4</f>
        <v>3.1764660488865115E-2</v>
      </c>
      <c r="H23" s="26">
        <f>H14/H4</f>
        <v>6.0147392638980515E-2</v>
      </c>
      <c r="I23" s="26">
        <f>I14/I4</f>
        <v>4.8936471286622957E-2</v>
      </c>
      <c r="J23" s="26">
        <f>J14/J4</f>
        <v>6.5077098388795107E-2</v>
      </c>
      <c r="K23" s="26">
        <f>K14/K4</f>
        <v>8.261829378104385E-2</v>
      </c>
      <c r="V23" s="26">
        <f>V14/V4</f>
        <v>3.5288997683706275E-2</v>
      </c>
    </row>
    <row r="24" spans="2:22" x14ac:dyDescent="0.2">
      <c r="B24" s="1" t="s">
        <v>52</v>
      </c>
      <c r="E24" s="26">
        <f>E13/E12</f>
        <v>-0.35227272727269854</v>
      </c>
      <c r="F24" s="26">
        <f>F13/F12</f>
        <v>0.2519651482147931</v>
      </c>
      <c r="G24" s="26">
        <f>G13/G12</f>
        <v>0.38715880893300286</v>
      </c>
      <c r="H24" s="26">
        <f>H13/H12</f>
        <v>0.27423545130641258</v>
      </c>
      <c r="I24" s="26">
        <f>I13/I12</f>
        <v>0.2536975630296332</v>
      </c>
      <c r="J24" s="26">
        <f>J13/J12</f>
        <v>0.27573364155910873</v>
      </c>
      <c r="K24" s="26">
        <f>K13/K12</f>
        <v>0.21151553793696137</v>
      </c>
      <c r="V24" s="26">
        <f>V13/V12</f>
        <v>0.30064096521821049</v>
      </c>
    </row>
    <row r="28" spans="2:22" x14ac:dyDescent="0.2">
      <c r="B28" s="31" t="s">
        <v>57</v>
      </c>
    </row>
    <row r="29" spans="2:22" s="32" customFormat="1" x14ac:dyDescent="0.2">
      <c r="B29" s="32" t="s">
        <v>7</v>
      </c>
      <c r="K29" s="32">
        <v>115.601</v>
      </c>
    </row>
    <row r="30" spans="2:22" s="33" customFormat="1" x14ac:dyDescent="0.2">
      <c r="B30" s="33" t="s">
        <v>58</v>
      </c>
      <c r="K30" s="33">
        <v>173.85900000000001</v>
      </c>
    </row>
    <row r="31" spans="2:22" s="32" customFormat="1" x14ac:dyDescent="0.2">
      <c r="B31" s="32" t="s">
        <v>59</v>
      </c>
      <c r="K31" s="32">
        <v>283.096</v>
      </c>
    </row>
    <row r="32" spans="2:22" s="33" customFormat="1" x14ac:dyDescent="0.2">
      <c r="B32" s="33" t="s">
        <v>60</v>
      </c>
      <c r="K32" s="33">
        <v>35.604999999999997</v>
      </c>
    </row>
    <row r="33" spans="2:11" s="33" customFormat="1" x14ac:dyDescent="0.2">
      <c r="B33" s="33" t="s">
        <v>61</v>
      </c>
      <c r="K33" s="33">
        <f>SUM(K29:K32)</f>
        <v>608.16100000000006</v>
      </c>
    </row>
    <row r="34" spans="2:11" s="33" customFormat="1" x14ac:dyDescent="0.2">
      <c r="B34" s="33" t="s">
        <v>62</v>
      </c>
      <c r="K34" s="33">
        <v>284.84500000000003</v>
      </c>
    </row>
    <row r="35" spans="2:11" s="33" customFormat="1" x14ac:dyDescent="0.2">
      <c r="B35" s="33" t="s">
        <v>63</v>
      </c>
      <c r="K35" s="33">
        <v>81.715999999999994</v>
      </c>
    </row>
    <row r="36" spans="2:11" s="33" customFormat="1" x14ac:dyDescent="0.2">
      <c r="B36" s="33" t="s">
        <v>64</v>
      </c>
      <c r="K36" s="33">
        <v>21.603999999999999</v>
      </c>
    </row>
    <row r="37" spans="2:11" s="33" customFormat="1" x14ac:dyDescent="0.2">
      <c r="B37" s="33" t="s">
        <v>65</v>
      </c>
      <c r="K37" s="33">
        <v>159.428</v>
      </c>
    </row>
    <row r="38" spans="2:11" s="33" customFormat="1" x14ac:dyDescent="0.2">
      <c r="B38" s="33" t="s">
        <v>66</v>
      </c>
      <c r="K38" s="33">
        <v>87.51</v>
      </c>
    </row>
    <row r="39" spans="2:11" s="33" customFormat="1" x14ac:dyDescent="0.2">
      <c r="B39" s="33" t="s">
        <v>67</v>
      </c>
      <c r="K39" s="33">
        <f>SUM(K33:K38)</f>
        <v>1243.2640000000001</v>
      </c>
    </row>
    <row r="40" spans="2:11" s="33" customFormat="1" x14ac:dyDescent="0.2"/>
    <row r="41" spans="2:11" s="33" customFormat="1" x14ac:dyDescent="0.2">
      <c r="B41" s="33" t="s">
        <v>68</v>
      </c>
      <c r="K41" s="33">
        <v>78.278999999999996</v>
      </c>
    </row>
    <row r="42" spans="2:11" s="33" customFormat="1" x14ac:dyDescent="0.2">
      <c r="B42" s="33" t="s">
        <v>69</v>
      </c>
      <c r="K42" s="33">
        <v>136.626</v>
      </c>
    </row>
    <row r="43" spans="2:11" s="33" customFormat="1" x14ac:dyDescent="0.2">
      <c r="B43" s="33" t="s">
        <v>70</v>
      </c>
      <c r="K43" s="33">
        <v>12.888</v>
      </c>
    </row>
    <row r="44" spans="2:11" s="32" customFormat="1" x14ac:dyDescent="0.2">
      <c r="B44" s="32" t="s">
        <v>71</v>
      </c>
      <c r="K44" s="32">
        <v>8.593</v>
      </c>
    </row>
    <row r="45" spans="2:11" s="33" customFormat="1" x14ac:dyDescent="0.2">
      <c r="B45" s="33" t="s">
        <v>72</v>
      </c>
      <c r="K45" s="33">
        <f>SUM(K41:K44)</f>
        <v>236.386</v>
      </c>
    </row>
    <row r="46" spans="2:11" s="32" customFormat="1" x14ac:dyDescent="0.2">
      <c r="B46" s="32" t="s">
        <v>73</v>
      </c>
      <c r="K46" s="32">
        <v>329.34699999999998</v>
      </c>
    </row>
    <row r="47" spans="2:11" s="33" customFormat="1" x14ac:dyDescent="0.2">
      <c r="B47" s="33" t="s">
        <v>74</v>
      </c>
      <c r="K47" s="33">
        <v>72.861000000000004</v>
      </c>
    </row>
    <row r="48" spans="2:11" s="33" customFormat="1" x14ac:dyDescent="0.2">
      <c r="B48" s="33" t="s">
        <v>64</v>
      </c>
      <c r="K48" s="33">
        <v>32.945</v>
      </c>
    </row>
    <row r="49" spans="2:11" s="33" customFormat="1" x14ac:dyDescent="0.2">
      <c r="B49" s="33" t="s">
        <v>75</v>
      </c>
      <c r="K49" s="33">
        <v>70.162000000000006</v>
      </c>
    </row>
    <row r="50" spans="2:11" s="33" customFormat="1" x14ac:dyDescent="0.2">
      <c r="B50" s="33" t="s">
        <v>76</v>
      </c>
      <c r="K50" s="33">
        <f>SUM(K45:K49)</f>
        <v>741.70100000000002</v>
      </c>
    </row>
    <row r="51" spans="2:11" s="33" customFormat="1" x14ac:dyDescent="0.2"/>
    <row r="52" spans="2:11" s="33" customFormat="1" x14ac:dyDescent="0.2">
      <c r="B52" s="33" t="s">
        <v>77</v>
      </c>
      <c r="K52" s="33">
        <v>501.56299999999999</v>
      </c>
    </row>
    <row r="53" spans="2:11" s="33" customFormat="1" x14ac:dyDescent="0.2">
      <c r="B53" s="33" t="s">
        <v>78</v>
      </c>
      <c r="K53" s="33">
        <f>K52+K50</f>
        <v>1243.2640000000001</v>
      </c>
    </row>
    <row r="55" spans="2:11" x14ac:dyDescent="0.2">
      <c r="B55" s="1" t="s">
        <v>79</v>
      </c>
      <c r="K55" s="33">
        <f>K39-K50</f>
        <v>501.5630000000001</v>
      </c>
    </row>
    <row r="56" spans="2:11" x14ac:dyDescent="0.2">
      <c r="B56" s="1" t="s">
        <v>80</v>
      </c>
      <c r="K56" s="1">
        <f>K55/K16</f>
        <v>8.6024011662807673</v>
      </c>
    </row>
    <row r="58" spans="2:11" x14ac:dyDescent="0.2">
      <c r="B58" s="1" t="s">
        <v>7</v>
      </c>
      <c r="K58" s="33">
        <f>K29</f>
        <v>115.601</v>
      </c>
    </row>
    <row r="59" spans="2:11" x14ac:dyDescent="0.2">
      <c r="B59" s="1" t="s">
        <v>8</v>
      </c>
      <c r="K59" s="33">
        <f>K44+K46</f>
        <v>337.94</v>
      </c>
    </row>
    <row r="60" spans="2:11" x14ac:dyDescent="0.2">
      <c r="B60" s="1" t="s">
        <v>9</v>
      </c>
      <c r="K60" s="33">
        <f>K58-K59</f>
        <v>-222.339</v>
      </c>
    </row>
    <row r="62" spans="2:11" x14ac:dyDescent="0.2">
      <c r="B62" s="1" t="s">
        <v>81</v>
      </c>
    </row>
    <row r="64" spans="2:11" x14ac:dyDescent="0.2">
      <c r="B64" s="1" t="s">
        <v>82</v>
      </c>
    </row>
    <row r="65" spans="2:2" x14ac:dyDescent="0.2">
      <c r="B65" s="1" t="s">
        <v>6</v>
      </c>
    </row>
    <row r="66" spans="2:2" x14ac:dyDescent="0.2">
      <c r="B66" s="1" t="s">
        <v>10</v>
      </c>
    </row>
    <row r="70" spans="2:2" x14ac:dyDescent="0.2">
      <c r="B70" s="31" t="s">
        <v>83</v>
      </c>
    </row>
    <row r="71" spans="2:2" x14ac:dyDescent="0.2">
      <c r="B71" s="1" t="s">
        <v>84</v>
      </c>
    </row>
  </sheetData>
  <phoneticPr fontId="8" type="noConversion"/>
  <hyperlinks>
    <hyperlink ref="K1" r:id="rId1" xr:uid="{BED13D44-69BD-49A3-BFED-156298B5BB5A}"/>
    <hyperlink ref="J1" r:id="rId2" xr:uid="{404445B2-A174-461C-A310-BB4BAE75DF58}"/>
    <hyperlink ref="I1" r:id="rId3" xr:uid="{F6F6B9A4-40B1-4B8E-B43F-E61421E2A770}"/>
    <hyperlink ref="V1" r:id="rId4" xr:uid="{49C5437C-F239-4557-A9F4-628FA3E8797D}"/>
    <hyperlink ref="H1" r:id="rId5" xr:uid="{DDF4CCFC-DE40-4F93-93A8-C35E61559480}"/>
  </hyperlinks>
  <pageMargins left="0.7" right="0.7" top="0.75" bottom="0.75" header="0.3" footer="0.3"/>
  <pageSetup paperSize="0" orientation="portrait" horizontalDpi="203" verticalDpi="20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Charlie H</cp:lastModifiedBy>
  <dcterms:created xsi:type="dcterms:W3CDTF">2025-02-16T17:35:45Z</dcterms:created>
  <dcterms:modified xsi:type="dcterms:W3CDTF">2025-02-16T18:21:04Z</dcterms:modified>
</cp:coreProperties>
</file>