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B35AC7D-B02C-4FDA-921A-EE6464BCF3A4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M20" i="1"/>
  <c r="N20" i="1" l="1"/>
  <c r="M23" i="1" l="1"/>
  <c r="N23" i="1"/>
  <c r="M5" i="1" l="1"/>
  <c r="M12" i="1"/>
  <c r="N5" i="1"/>
  <c r="M8" i="1" l="1"/>
  <c r="N8" i="1" l="1"/>
  <c r="N12" i="1" l="1"/>
  <c r="L21" i="1" l="1"/>
  <c r="K21" i="1"/>
  <c r="J21" i="1"/>
  <c r="I21" i="1"/>
  <c r="H21" i="1"/>
  <c r="G21" i="1"/>
  <c r="F21" i="1"/>
  <c r="X20" i="1" l="1"/>
  <c r="W20" i="1"/>
  <c r="Q20" i="1"/>
  <c r="P20" i="1"/>
  <c r="H45" i="1" l="1"/>
  <c r="F44" i="1" l="1"/>
  <c r="H44" i="1" s="1"/>
  <c r="F43" i="1"/>
  <c r="H43" i="1" s="1"/>
  <c r="H40" i="1" l="1"/>
  <c r="P6" i="1" l="1"/>
  <c r="T8" i="1" l="1"/>
  <c r="W8" i="1"/>
  <c r="X8" i="1"/>
  <c r="Y8" i="1"/>
  <c r="Z8" i="1"/>
  <c r="X23" i="1" l="1"/>
  <c r="S8" i="1"/>
  <c r="P8" i="1"/>
  <c r="Q8" i="1" l="1"/>
  <c r="Y23" i="1" l="1"/>
  <c r="R8" i="1"/>
  <c r="X5" i="1" l="1"/>
  <c r="W5" i="1"/>
  <c r="Z12" i="1" l="1"/>
  <c r="Y12" i="1"/>
  <c r="X12" i="1"/>
  <c r="W12" i="1"/>
  <c r="V12" i="1"/>
  <c r="R12" i="1"/>
  <c r="T12" i="1"/>
  <c r="S12" i="1"/>
  <c r="P12" i="1"/>
  <c r="Q12" i="1"/>
  <c r="Q5" i="1" l="1"/>
  <c r="P5" i="1"/>
  <c r="AG23" i="1" l="1"/>
  <c r="AI23" i="1"/>
  <c r="AH23" i="1"/>
  <c r="F23" i="1"/>
  <c r="AE12" i="1" l="1"/>
  <c r="AD12" i="1"/>
  <c r="AC12" i="1"/>
  <c r="AB12" i="1"/>
  <c r="L12" i="1"/>
  <c r="K12" i="1"/>
  <c r="I12" i="1"/>
  <c r="G12" i="1"/>
  <c r="F12" i="1"/>
  <c r="H12" i="1" l="1"/>
  <c r="J12" i="1"/>
  <c r="L6" i="1" l="1"/>
  <c r="K6" i="1"/>
  <c r="AE6" i="1"/>
  <c r="AD6" i="1"/>
  <c r="AC6" i="1"/>
  <c r="AB6" i="1"/>
  <c r="AG6" i="1"/>
  <c r="AH6" i="1"/>
  <c r="AI6" i="1"/>
  <c r="F6" i="1"/>
  <c r="AE5" i="1" l="1"/>
  <c r="AD5" i="1"/>
  <c r="AC5" i="1"/>
  <c r="AB5" i="1"/>
  <c r="J20" i="1" l="1"/>
  <c r="I20" i="1"/>
  <c r="H20" i="1"/>
  <c r="G20" i="1"/>
  <c r="F20" i="1"/>
  <c r="AH20" i="1"/>
  <c r="AI20" i="1"/>
  <c r="AG20" i="1"/>
  <c r="AE20" i="1"/>
  <c r="AD20" i="1"/>
  <c r="AC20" i="1"/>
  <c r="AB20" i="1"/>
  <c r="L20" i="1"/>
  <c r="K20" i="1"/>
  <c r="AI14" i="1" l="1"/>
  <c r="AI12" i="1"/>
  <c r="AG12" i="1"/>
  <c r="AH12" i="1"/>
  <c r="AI5" i="1" l="1"/>
  <c r="AG5" i="1"/>
  <c r="AH5" i="1"/>
  <c r="L5" i="1" l="1"/>
  <c r="J5" i="1"/>
  <c r="I5" i="1"/>
  <c r="H5" i="1"/>
  <c r="G5" i="1"/>
  <c r="F5" i="1"/>
  <c r="K5" i="1"/>
  <c r="AH8" i="1" l="1"/>
  <c r="AI8" i="1"/>
  <c r="AG8" i="1"/>
  <c r="AE8" i="1"/>
  <c r="AD8" i="1"/>
  <c r="AC8" i="1"/>
  <c r="AB8" i="1"/>
  <c r="J8" i="1"/>
  <c r="I8" i="1"/>
  <c r="G8" i="1"/>
  <c r="H8" i="1"/>
  <c r="F8" i="1"/>
  <c r="G56" i="1"/>
  <c r="G55" i="1"/>
  <c r="Z23" i="1" s="1"/>
  <c r="L8" i="1"/>
  <c r="K8" i="1"/>
  <c r="I6" i="1"/>
  <c r="H6" i="1" l="1"/>
  <c r="G6" i="1"/>
  <c r="J6" i="1"/>
  <c r="L23" i="1" l="1"/>
  <c r="AB23" i="1"/>
  <c r="G23" i="1"/>
  <c r="AC23" i="1" l="1"/>
  <c r="I23" i="1"/>
  <c r="P23" i="1" l="1"/>
  <c r="AE23" i="1"/>
  <c r="AD23" i="1" l="1"/>
  <c r="W23" i="1" l="1"/>
  <c r="S23" i="1" l="1"/>
  <c r="Q23" i="1"/>
  <c r="H23" i="1"/>
  <c r="J23" i="1" l="1"/>
  <c r="R23" i="1"/>
  <c r="T23" i="1"/>
</calcChain>
</file>

<file path=xl/sharedStrings.xml><?xml version="1.0" encoding="utf-8"?>
<sst xmlns="http://schemas.openxmlformats.org/spreadsheetml/2006/main" count="208" uniqueCount="142">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</sst>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37.21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22243.356589999999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</row>
        <row r="12">
          <cell r="C12">
            <v>20210.512589999998</v>
          </cell>
        </row>
        <row r="16">
          <cell r="G16">
            <v>52.387601721181568</v>
          </cell>
        </row>
        <row r="17">
          <cell r="G17">
            <v>11.590025427513091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  <row r="26">
          <cell r="AP26">
            <v>66.171403527895578</v>
          </cell>
        </row>
        <row r="28">
          <cell r="AP28">
            <v>0.77832312625357636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L56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3" sqref="O23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42578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27" customWidth="1"/>
    <col min="14" max="14" width="9.42578125" style="28" customWidth="1"/>
    <col min="15" max="22" width="9.42578125" style="5" customWidth="1"/>
    <col min="23" max="26" width="9.42578125" style="23" customWidth="1"/>
    <col min="27" max="27" width="9.140625" style="1"/>
    <col min="28" max="31" width="9.140625" style="5"/>
    <col min="32" max="32" width="9.140625" style="1"/>
    <col min="33" max="34" width="9.140625" style="5"/>
    <col min="35" max="35" width="19.28515625" style="5" bestFit="1" customWidth="1"/>
    <col min="36" max="36" width="9.140625" style="1"/>
    <col min="37" max="37" width="16.42578125" style="5" bestFit="1" customWidth="1"/>
    <col min="38" max="38" width="24.85546875" style="1" bestFit="1" customWidth="1"/>
    <col min="39" max="16384" width="9.140625" style="1"/>
  </cols>
  <sheetData>
    <row r="1" spans="1:38" ht="15" customHeight="1" x14ac:dyDescent="0.2">
      <c r="F1" s="35" t="s">
        <v>29</v>
      </c>
      <c r="G1" s="35"/>
      <c r="H1" s="35"/>
      <c r="I1" s="35"/>
      <c r="J1" s="35"/>
      <c r="V1" s="35" t="s">
        <v>105</v>
      </c>
      <c r="W1" s="35"/>
      <c r="X1" s="35"/>
      <c r="Y1" s="35"/>
      <c r="Z1" s="35"/>
      <c r="AA1" s="5"/>
    </row>
    <row r="2" spans="1:38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9" t="s">
        <v>140</v>
      </c>
      <c r="N2" s="30" t="s">
        <v>141</v>
      </c>
      <c r="O2" s="4"/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/>
      <c r="V2" s="4" t="s">
        <v>104</v>
      </c>
      <c r="W2" s="4" t="s">
        <v>100</v>
      </c>
      <c r="X2" s="4" t="s">
        <v>101</v>
      </c>
      <c r="Y2" s="4" t="s">
        <v>102</v>
      </c>
      <c r="Z2" s="4" t="s">
        <v>103</v>
      </c>
      <c r="AA2" s="3"/>
      <c r="AB2" s="4" t="s">
        <v>18</v>
      </c>
      <c r="AC2" s="4" t="s">
        <v>19</v>
      </c>
      <c r="AD2" s="4" t="s">
        <v>20</v>
      </c>
      <c r="AE2" s="4" t="s">
        <v>21</v>
      </c>
      <c r="AG2" s="4" t="s">
        <v>12</v>
      </c>
      <c r="AH2" s="4" t="s">
        <v>10</v>
      </c>
      <c r="AI2" s="4" t="s">
        <v>11</v>
      </c>
      <c r="AK2" s="4" t="s">
        <v>38</v>
      </c>
      <c r="AL2" s="4" t="s">
        <v>40</v>
      </c>
    </row>
    <row r="3" spans="1:38" x14ac:dyDescent="0.2">
      <c r="F3" s="16"/>
      <c r="I3" s="17"/>
      <c r="J3" s="17"/>
      <c r="V3" s="22"/>
      <c r="W3" s="24"/>
      <c r="X3" s="24"/>
      <c r="Y3" s="24"/>
      <c r="Z3" s="24"/>
      <c r="AL3" s="5"/>
    </row>
    <row r="4" spans="1:38" x14ac:dyDescent="0.2">
      <c r="F4" s="16"/>
      <c r="I4" s="17"/>
      <c r="J4" s="17"/>
      <c r="V4" s="22"/>
      <c r="W4" s="24"/>
      <c r="X4" s="24"/>
      <c r="Y4" s="24"/>
      <c r="Z4" s="24"/>
      <c r="AL4" s="5"/>
    </row>
    <row r="5" spans="1:38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[1]Main!$C$6*F55</f>
        <v>155.31750000000002</v>
      </c>
      <c r="G5" s="19">
        <f>[1]Main!$C$7</f>
        <v>68.916813000000005</v>
      </c>
      <c r="H5" s="17">
        <f>[1]Main!$C$8*F55</f>
        <v>10703.987103127502</v>
      </c>
      <c r="I5" s="17">
        <f>[1]Main!$C$11*F55</f>
        <v>525.27690000000007</v>
      </c>
      <c r="J5" s="17">
        <f>[1]Main!$C$12*F55</f>
        <v>10178.710203127501</v>
      </c>
      <c r="K5" s="5" t="str">
        <f>[1]Main!$C$28</f>
        <v>FQ323</v>
      </c>
      <c r="L5" s="8">
        <f>[1]Main!$D$28</f>
        <v>44901</v>
      </c>
      <c r="M5" s="27">
        <f>'[1]Financial Model'!$AU$27*F55</f>
        <v>144.21036736217536</v>
      </c>
      <c r="N5" s="32">
        <f>'[1]Financial Model'!$AU$29</f>
        <v>-7.1512435094722937E-2</v>
      </c>
      <c r="O5" s="8"/>
      <c r="P5" s="21">
        <f>[1]Main!$C$33</f>
        <v>19.311919490429393</v>
      </c>
      <c r="Q5" s="21">
        <f>[1]Main!$C$34</f>
        <v>11.112137929461445</v>
      </c>
      <c r="R5" s="8"/>
      <c r="S5" s="8"/>
      <c r="T5" s="8"/>
      <c r="U5" s="8"/>
      <c r="V5" s="22"/>
      <c r="W5" s="24">
        <f>'[1]Financial Model'!$AH$21*F55</f>
        <v>-248.56146000000001</v>
      </c>
      <c r="X5" s="24">
        <f>'[1]Financial Model'!$AG$15*F55</f>
        <v>-169.53623999999999</v>
      </c>
      <c r="Y5" s="24"/>
      <c r="Z5" s="24"/>
      <c r="AB5" s="18">
        <f>'[1]Financial Model'!$X$29</f>
        <v>0.70928999538958049</v>
      </c>
      <c r="AC5" s="18">
        <f>'[1]Financial Model'!$X$30</f>
        <v>-0.37819600869393383</v>
      </c>
      <c r="AD5" s="18">
        <f>'[1]Financial Model'!$X$31</f>
        <v>-0.39144108542448774</v>
      </c>
      <c r="AE5" s="18">
        <f>'[1]Financial Model'!$X$32</f>
        <v>-2.6326241624645998E-2</v>
      </c>
      <c r="AG5" s="5">
        <f>[1]Main!$C24</f>
        <v>2007</v>
      </c>
      <c r="AH5" s="5">
        <f>[1]Main!$C$25</f>
        <v>2017</v>
      </c>
      <c r="AI5" s="5" t="str">
        <f>[1]Main!$C$23</f>
        <v>New York City, NY</v>
      </c>
      <c r="AK5" s="5" t="s">
        <v>47</v>
      </c>
      <c r="AL5" s="5" t="s">
        <v>39</v>
      </c>
    </row>
    <row r="6" spans="1:38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[2]Main!$C$6*F55</f>
        <v>3.2561999999999998</v>
      </c>
      <c r="G6" s="17">
        <f>[2]Main!$C$7</f>
        <v>58.801357000000003</v>
      </c>
      <c r="H6" s="17">
        <f>[2]Main!$C$8*F55</f>
        <v>191.46897866340001</v>
      </c>
      <c r="I6" s="17">
        <f>[2]Main!$C$11*F55</f>
        <v>12.968910000000001</v>
      </c>
      <c r="J6" s="17">
        <f>[2]Main!$C$12*F55</f>
        <v>178.50006866340001</v>
      </c>
      <c r="K6" s="5" t="str">
        <f>[2]Main!$C$28</f>
        <v>Q322</v>
      </c>
      <c r="L6" s="8">
        <f>[2]Main!$D$28</f>
        <v>42705</v>
      </c>
      <c r="N6" s="31"/>
      <c r="O6" s="8"/>
      <c r="P6" s="21">
        <f>[2]Main!$C$34</f>
        <v>26.782399177430296</v>
      </c>
      <c r="Q6" s="21"/>
      <c r="R6" s="21"/>
      <c r="S6" s="21"/>
      <c r="T6" s="21"/>
      <c r="U6" s="8"/>
      <c r="V6" s="22"/>
      <c r="W6" s="24"/>
      <c r="X6" s="24"/>
      <c r="Y6" s="24"/>
      <c r="Z6" s="24"/>
      <c r="AB6" s="18">
        <f>'[2]Financial Model'!$J$28</f>
        <v>0.68957308000457829</v>
      </c>
      <c r="AC6" s="18">
        <f>'[2]Financial Model'!$J$29</f>
        <v>-1.1077257639922169</v>
      </c>
      <c r="AD6" s="18">
        <f>'[2]Financial Model'!$J$30</f>
        <v>-1.1136774636602953</v>
      </c>
      <c r="AE6" s="18">
        <f>'[2]Financial Model'!$J$31</f>
        <v>-1.6676961087090797E-3</v>
      </c>
      <c r="AG6" s="5">
        <f>[2]Main!$C$24</f>
        <v>2010</v>
      </c>
      <c r="AH6" s="5">
        <f>[2]Main!$C$25</f>
        <v>2022</v>
      </c>
      <c r="AI6" s="5" t="str">
        <f>[2]Main!$C$23</f>
        <v>Redwood City, CA</v>
      </c>
      <c r="AK6" s="5" t="s">
        <v>47</v>
      </c>
      <c r="AL6" s="5" t="s">
        <v>39</v>
      </c>
    </row>
    <row r="7" spans="1:38" x14ac:dyDescent="0.2">
      <c r="F7" s="16"/>
      <c r="I7" s="17"/>
      <c r="J7" s="17"/>
      <c r="Q7" s="21"/>
      <c r="R7" s="21"/>
      <c r="S7" s="21"/>
      <c r="T7" s="21"/>
      <c r="V7" s="22"/>
      <c r="W7" s="24"/>
      <c r="X7" s="24"/>
      <c r="Y7" s="24"/>
      <c r="Z7" s="24"/>
      <c r="AL7" s="5"/>
    </row>
    <row r="8" spans="1:38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[3]Main!$C$6*$F$55</f>
        <v>48.114000000000004</v>
      </c>
      <c r="G8" s="17">
        <f>[3]Main!$C$7</f>
        <v>183.692564</v>
      </c>
      <c r="H8" s="17">
        <f>[3]Main!$C$8*$F$55</f>
        <v>8838.1840242960006</v>
      </c>
      <c r="I8" s="17">
        <f>[3]Main!$C$11*F55</f>
        <v>2589.3415800000002</v>
      </c>
      <c r="J8" s="17">
        <f>[3]Main!$C$12*F55</f>
        <v>6248.8424442960013</v>
      </c>
      <c r="K8" s="5" t="str">
        <f>[3]Main!$C$28</f>
        <v>Q322</v>
      </c>
      <c r="L8" s="8">
        <f>[3]Main!$D$28</f>
        <v>37926</v>
      </c>
      <c r="M8" s="27">
        <f>'[3]Financial Model'!$AP$29*F55</f>
        <v>42.985358058347664</v>
      </c>
      <c r="N8" s="32">
        <f>'[3]Financial Model'!$AP$31</f>
        <v>-0.10659354744258087</v>
      </c>
      <c r="O8" s="8"/>
      <c r="P8" s="21">
        <f>[3]Main!$C$33</f>
        <v>1.0361270864907119</v>
      </c>
      <c r="Q8" s="21">
        <f>[3]Main!$C$34</f>
        <v>2.9939265322921638</v>
      </c>
      <c r="R8" s="21">
        <f>[3]Main!$C$35</f>
        <v>2.1167895054755248</v>
      </c>
      <c r="S8" s="21">
        <f>[3]Main!$C$36</f>
        <v>-8.1937235256229481</v>
      </c>
      <c r="T8" s="21">
        <f>[3]Main!$C$37</f>
        <v>-5.8527494874135044</v>
      </c>
      <c r="U8" s="8"/>
      <c r="V8" s="22"/>
      <c r="W8" s="24">
        <f>'[3]Financial Model'!$AB$17*$F$55</f>
        <v>-769.4190000000001</v>
      </c>
      <c r="X8" s="24">
        <f>'[3]Financial Model'!$AA$17*$F$55</f>
        <v>-397.6929899999999</v>
      </c>
      <c r="Y8" s="24">
        <f>'[3]Financial Model'!$Z$17*$F$55</f>
        <v>-248.72102999999996</v>
      </c>
      <c r="Z8" s="24">
        <f>'[3]Financial Model'!$Y$17*F55</f>
        <v>-98.778690000000012</v>
      </c>
      <c r="AB8" s="18">
        <f>'[3]Financial Model'!$U$24</f>
        <v>0.47005177868427206</v>
      </c>
      <c r="AC8" s="18">
        <f>'[3]Financial Model'!$U$25</f>
        <v>-0.46488611741249003</v>
      </c>
      <c r="AD8" s="18">
        <f>'[3]Financial Model'!$U$26</f>
        <v>-0.49065338799426272</v>
      </c>
      <c r="AE8" s="18">
        <f>'[3]Financial Model'!$U$27</f>
        <v>-7.4778536471246807E-3</v>
      </c>
      <c r="AG8" s="5">
        <f>[3]Main!$C$24</f>
        <v>2008</v>
      </c>
      <c r="AH8" s="5">
        <f>[3]Main!$C$25</f>
        <v>2016</v>
      </c>
      <c r="AI8" s="5" t="str">
        <f>[3]Main!$C$23</f>
        <v>San Francisco, CA</v>
      </c>
      <c r="AK8" s="5" t="s">
        <v>47</v>
      </c>
      <c r="AL8" s="5" t="s">
        <v>43</v>
      </c>
    </row>
    <row r="9" spans="1:38" x14ac:dyDescent="0.2">
      <c r="B9" s="7"/>
      <c r="F9" s="16"/>
      <c r="G9" s="17"/>
      <c r="H9" s="17"/>
      <c r="I9" s="17"/>
      <c r="J9" s="17"/>
      <c r="L9" s="8"/>
      <c r="N9" s="31"/>
      <c r="O9" s="8"/>
      <c r="P9" s="8"/>
      <c r="Q9" s="21"/>
      <c r="R9" s="21"/>
      <c r="S9" s="21"/>
      <c r="T9" s="21"/>
      <c r="U9" s="8"/>
      <c r="V9" s="22"/>
      <c r="W9" s="24"/>
      <c r="X9" s="24"/>
      <c r="Y9" s="24"/>
      <c r="Z9" s="24"/>
      <c r="AB9" s="18"/>
      <c r="AC9" s="18"/>
      <c r="AD9" s="18"/>
      <c r="AE9" s="18"/>
      <c r="AL9" s="5"/>
    </row>
    <row r="10" spans="1:38" x14ac:dyDescent="0.2">
      <c r="B10" s="1" t="s">
        <v>34</v>
      </c>
      <c r="C10" s="6" t="s">
        <v>35</v>
      </c>
      <c r="E10" s="5" t="s">
        <v>17</v>
      </c>
      <c r="Q10" s="21"/>
      <c r="R10" s="21"/>
      <c r="S10" s="21"/>
      <c r="T10" s="21"/>
      <c r="V10" s="22"/>
      <c r="W10" s="24"/>
      <c r="X10" s="24"/>
      <c r="Y10" s="24"/>
      <c r="Z10" s="24"/>
      <c r="AK10" s="5" t="s">
        <v>15</v>
      </c>
      <c r="AL10" s="5" t="s">
        <v>44</v>
      </c>
    </row>
    <row r="11" spans="1:38" x14ac:dyDescent="0.2">
      <c r="B11" s="1" t="s">
        <v>41</v>
      </c>
      <c r="C11" s="6" t="s">
        <v>42</v>
      </c>
      <c r="E11" s="5" t="s">
        <v>17</v>
      </c>
      <c r="V11" s="22"/>
      <c r="W11" s="24"/>
      <c r="X11" s="24"/>
      <c r="Y11" s="24"/>
      <c r="Z11" s="24"/>
      <c r="AK11" s="5" t="s">
        <v>15</v>
      </c>
      <c r="AL11" s="5" t="s">
        <v>45</v>
      </c>
    </row>
    <row r="12" spans="1:38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27">
        <f>'[4]Financial Model'!$AH$22</f>
        <v>6.3308923646501336</v>
      </c>
      <c r="N12" s="32">
        <f>'[4]Financial Model'!$AH$24</f>
        <v>-0.14975928489791379</v>
      </c>
      <c r="O12" s="20"/>
      <c r="P12" s="21">
        <f>[4]Main!$C$34</f>
        <v>5.5155555555555553</v>
      </c>
      <c r="Q12" s="21">
        <f>[4]Main!$C$33</f>
        <v>3.9008320493066257</v>
      </c>
      <c r="R12" s="21">
        <f>[4]Main!$C$35</f>
        <v>4.2752542372881353</v>
      </c>
      <c r="S12" s="21">
        <f>[4]Main!$C$32</f>
        <v>29.901259842519682</v>
      </c>
      <c r="T12" s="21">
        <f>[4]Main!$C$36</f>
        <v>32.771338582677167</v>
      </c>
      <c r="U12" s="20"/>
      <c r="V12" s="24">
        <f>'[4]Financial Model'!$V$13</f>
        <v>254</v>
      </c>
      <c r="W12" s="24">
        <f>'[4]Financial Model'!$U$13</f>
        <v>285</v>
      </c>
      <c r="X12" s="24">
        <f>'[4]Financial Model'!$T$13</f>
        <v>310</v>
      </c>
      <c r="Y12" s="24">
        <f>'[4]Financial Model'!$S$13</f>
        <v>266</v>
      </c>
      <c r="Z12" s="24">
        <f>'[4]Financial Model'!$R$13</f>
        <v>295</v>
      </c>
      <c r="AB12" s="18">
        <f>'[4]Financial Model'!$V$17</f>
        <v>0.92912172573189522</v>
      </c>
      <c r="AC12" s="18">
        <f>'[4]Financial Model'!$V$18</f>
        <v>0.18849512069851052</v>
      </c>
      <c r="AD12" s="18">
        <f>'[4]Financial Model'!$V$19</f>
        <v>0.13045711350796096</v>
      </c>
      <c r="AE12" s="18">
        <f>'[4]Financial Model'!$V$20</f>
        <v>0.24629080118694363</v>
      </c>
      <c r="AG12" s="5">
        <f>[4]Main!$C$24</f>
        <v>1981</v>
      </c>
      <c r="AH12" s="5">
        <f>[4]Main!$C$25</f>
        <v>1989</v>
      </c>
      <c r="AI12" s="5" t="str">
        <f>[4]Main!$C$23</f>
        <v>Newcastle, UK</v>
      </c>
      <c r="AK12" s="5" t="s">
        <v>15</v>
      </c>
      <c r="AL12" s="5" t="s">
        <v>46</v>
      </c>
    </row>
    <row r="13" spans="1:38" x14ac:dyDescent="0.2">
      <c r="B13" s="7"/>
      <c r="F13" s="16"/>
      <c r="AL13" s="5"/>
    </row>
    <row r="14" spans="1:38" x14ac:dyDescent="0.2">
      <c r="B14" s="1" t="s">
        <v>76</v>
      </c>
      <c r="C14" s="6" t="s">
        <v>77</v>
      </c>
      <c r="D14" s="5" t="s">
        <v>33</v>
      </c>
      <c r="E14" s="5" t="s">
        <v>17</v>
      </c>
      <c r="AG14" s="5">
        <v>2002</v>
      </c>
      <c r="AH14" s="5">
        <v>2015</v>
      </c>
      <c r="AI14" s="5" t="str">
        <f>[3]Main!$C$23</f>
        <v>San Francisco, CA</v>
      </c>
      <c r="AK14" s="5" t="s">
        <v>78</v>
      </c>
      <c r="AL14" s="5" t="s">
        <v>79</v>
      </c>
    </row>
    <row r="16" spans="1:38" x14ac:dyDescent="0.2">
      <c r="B16" s="1" t="s">
        <v>48</v>
      </c>
      <c r="C16" s="6" t="s">
        <v>49</v>
      </c>
      <c r="D16" s="5" t="s">
        <v>30</v>
      </c>
      <c r="E16" s="5" t="s">
        <v>17</v>
      </c>
      <c r="AK16" s="5" t="s">
        <v>50</v>
      </c>
      <c r="AL16" s="5" t="s">
        <v>51</v>
      </c>
    </row>
    <row r="17" spans="2:38" x14ac:dyDescent="0.2">
      <c r="B17" s="1" t="s">
        <v>63</v>
      </c>
      <c r="C17" s="6" t="s">
        <v>64</v>
      </c>
      <c r="D17" s="5" t="s">
        <v>33</v>
      </c>
      <c r="E17" s="5" t="s">
        <v>17</v>
      </c>
      <c r="AK17" s="5" t="s">
        <v>50</v>
      </c>
      <c r="AL17" s="5" t="s">
        <v>65</v>
      </c>
    </row>
    <row r="20" spans="2:38" x14ac:dyDescent="0.2">
      <c r="B20" s="7" t="s">
        <v>57</v>
      </c>
      <c r="C20" s="6" t="s">
        <v>59</v>
      </c>
      <c r="D20" s="5" t="s">
        <v>30</v>
      </c>
      <c r="E20" s="5" t="s">
        <v>17</v>
      </c>
      <c r="F20" s="17">
        <f>[5]Main!$C$6*F55</f>
        <v>30.140100000000004</v>
      </c>
      <c r="G20" s="17">
        <f>[5]Main!$C$7</f>
        <v>597.779</v>
      </c>
      <c r="H20" s="17">
        <f>[5]Main!$C$8*F55</f>
        <v>18017.118837900001</v>
      </c>
      <c r="I20" s="17">
        <f>[5]Main!$C$11*F55</f>
        <v>1646.60364</v>
      </c>
      <c r="J20" s="17">
        <f>[5]Main!$C$12*F55</f>
        <v>16370.5151979</v>
      </c>
      <c r="K20" s="5" t="str">
        <f>[5]Main!$G$11</f>
        <v>Q322</v>
      </c>
      <c r="L20" s="5">
        <f>[5]Main!$H$11</f>
        <v>0</v>
      </c>
      <c r="M20" s="27">
        <f>'[5]Financial Model'!$AP$26*F55</f>
        <v>53.598836857595423</v>
      </c>
      <c r="N20" s="32">
        <f>'[5]Financial Model'!$AP$28</f>
        <v>0.77832312625357636</v>
      </c>
      <c r="P20" s="21">
        <f>[5]Main!$G$16</f>
        <v>52.387601721181568</v>
      </c>
      <c r="Q20" s="21">
        <f>[5]Main!$G$17</f>
        <v>11.590025427513091</v>
      </c>
      <c r="W20" s="25">
        <f>'[5]Financial Model'!$W$18*F55</f>
        <v>-407.82689999999997</v>
      </c>
      <c r="X20" s="25">
        <f>'[5]Financial Model'!$V$18*F55</f>
        <v>-211.26095999999995</v>
      </c>
      <c r="Y20" s="23" t="s">
        <v>139</v>
      </c>
      <c r="Z20" s="23" t="s">
        <v>139</v>
      </c>
      <c r="AB20" s="18">
        <f>'[5]Financial Model'!$M$22</f>
        <v>0.75577498469211346</v>
      </c>
      <c r="AC20" s="18">
        <f>'[5]Financial Model'!$M$23</f>
        <v>-0.5794918747476856</v>
      </c>
      <c r="AD20" s="18">
        <f>'[5]Financial Model'!$M$24</f>
        <v>-0.5831522463478378</v>
      </c>
      <c r="AE20" s="18">
        <f>'[5]Financial Model'!$M$25</f>
        <v>-1.1673022715967497E-3</v>
      </c>
      <c r="AG20" s="5">
        <f>[5]Main!$G$8</f>
        <v>2004</v>
      </c>
      <c r="AH20" s="5">
        <f>[5]Main!$G$7</f>
        <v>2021</v>
      </c>
      <c r="AI20" s="5" t="str">
        <f>[5]Main!$G$6</f>
        <v>San Mateo, CA</v>
      </c>
      <c r="AK20" s="5" t="s">
        <v>60</v>
      </c>
      <c r="AL20" s="5" t="s">
        <v>62</v>
      </c>
    </row>
    <row r="21" spans="2:38" x14ac:dyDescent="0.2">
      <c r="B21" s="7" t="s">
        <v>56</v>
      </c>
      <c r="C21" s="6" t="s">
        <v>58</v>
      </c>
      <c r="D21" s="5" t="s">
        <v>30</v>
      </c>
      <c r="E21" s="5" t="s">
        <v>17</v>
      </c>
      <c r="F21" s="17">
        <f>[6]Main!$C$6*F55</f>
        <v>27.078300000000002</v>
      </c>
      <c r="G21" s="17">
        <f>[6]Main!$C$7</f>
        <v>296.01300300000003</v>
      </c>
      <c r="H21" s="17">
        <f>[6]Main!$C$8*F55</f>
        <v>8015.5288991349007</v>
      </c>
      <c r="I21" s="19">
        <f>[6]Main!$C$11*F55</f>
        <v>-425.90609999999998</v>
      </c>
      <c r="J21" s="17">
        <f>[6]Main!$C$12*F55</f>
        <v>8441.4349991349009</v>
      </c>
      <c r="K21" s="26" t="str">
        <f>[6]Main!$C$26</f>
        <v>Q122</v>
      </c>
      <c r="L21" s="26">
        <f>[6]Main!$D$26</f>
        <v>0</v>
      </c>
      <c r="AK21" s="5" t="s">
        <v>60</v>
      </c>
      <c r="AL21" s="5" t="s">
        <v>61</v>
      </c>
    </row>
    <row r="23" spans="2:38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[7]Main!$C$6*F55</f>
        <v>40.095000000000006</v>
      </c>
      <c r="G23" s="19">
        <f>[7]Main!$C$7</f>
        <v>542.659087</v>
      </c>
      <c r="H23" s="17">
        <f>[7]Main!$C$8*F55</f>
        <v>21757.916093265001</v>
      </c>
      <c r="I23" s="17">
        <f>[7]Main!$C$11*F55</f>
        <v>-3430.3500000000004</v>
      </c>
      <c r="J23" s="17">
        <f>[7]Main!$C$12*F55</f>
        <v>25188.266093265003</v>
      </c>
      <c r="K23" s="5" t="str">
        <f>[7]Main!$C$28</f>
        <v>Q322</v>
      </c>
      <c r="L23" s="8">
        <f>[7]Main!$D$28</f>
        <v>37561</v>
      </c>
      <c r="M23" s="27">
        <f>'[7]Financial Model'!$AW$29*$F$55</f>
        <v>46.397701300113674</v>
      </c>
      <c r="N23" s="32">
        <f>'[7]Financial Model'!$AW$31</f>
        <v>0.15719419628666098</v>
      </c>
      <c r="O23" s="8"/>
      <c r="P23" s="21">
        <f>[7]Main!$C$33</f>
        <v>5.5350555958170204</v>
      </c>
      <c r="Q23" s="21">
        <f>[7]Main!$C$34</f>
        <v>2.7138436862497475</v>
      </c>
      <c r="R23" s="21">
        <f>[7]Main!$C$35</f>
        <v>3.1417079012426754</v>
      </c>
      <c r="S23" s="21">
        <f>[7]Main!$C$36</f>
        <v>-421.2402023888468</v>
      </c>
      <c r="T23" s="21">
        <f>[7]Main!$C$37</f>
        <v>1110.5937430892857</v>
      </c>
      <c r="U23" s="8"/>
      <c r="V23" s="8"/>
      <c r="W23" s="25">
        <f>'[7]Financial Model'!$AE$20*F55</f>
        <v>-1091.0700000000002</v>
      </c>
      <c r="X23" s="25">
        <f>'[7]Financial Model'!$AD$20*F55</f>
        <v>5885.46</v>
      </c>
      <c r="Y23" s="25">
        <f>'[7]Financial Model'!$AC$20*F55</f>
        <v>1397.25</v>
      </c>
      <c r="Z23" s="25">
        <f>'[7]Financial Model'!$AC$20*G55</f>
        <v>2129.6296296296296</v>
      </c>
      <c r="AB23" s="18">
        <f>'[7]Financial Model'!$U$27</f>
        <v>0.72890843662534988</v>
      </c>
      <c r="AC23" s="18">
        <f>'[7]Financial Model'!$U$28</f>
        <v>0.2646941223510596</v>
      </c>
      <c r="AD23" s="18">
        <f>'[7]Financial Model'!$U$29</f>
        <v>0.10555777688924431</v>
      </c>
      <c r="AE23" s="18">
        <f>'[7]Financial Model'!$U$30</f>
        <v>0.34792626728110598</v>
      </c>
      <c r="AG23" s="5">
        <f>[7]Main!$C$24</f>
        <v>1995</v>
      </c>
      <c r="AH23" s="5">
        <f>[7]Main!$C$25</f>
        <v>1998</v>
      </c>
      <c r="AI23" s="5" t="str">
        <f>[7]Main!$C$23</f>
        <v>San Jose, CA</v>
      </c>
      <c r="AK23" s="5" t="s">
        <v>84</v>
      </c>
      <c r="AL23" s="5" t="s">
        <v>86</v>
      </c>
    </row>
    <row r="24" spans="2:38" x14ac:dyDescent="0.2">
      <c r="B24" s="1" t="s">
        <v>83</v>
      </c>
      <c r="C24" s="6" t="s">
        <v>138</v>
      </c>
      <c r="D24" s="5" t="s">
        <v>33</v>
      </c>
      <c r="E24" s="5" t="s">
        <v>17</v>
      </c>
      <c r="AK24" s="5" t="s">
        <v>84</v>
      </c>
      <c r="AL24" s="5" t="s">
        <v>118</v>
      </c>
    </row>
    <row r="25" spans="2:38" x14ac:dyDescent="0.2">
      <c r="B25" s="1" t="s">
        <v>87</v>
      </c>
      <c r="C25" s="6" t="s">
        <v>88</v>
      </c>
      <c r="D25" s="5" t="s">
        <v>30</v>
      </c>
      <c r="E25" s="5" t="s">
        <v>17</v>
      </c>
      <c r="AK25" s="5" t="s">
        <v>84</v>
      </c>
      <c r="AL25" s="5"/>
    </row>
    <row r="26" spans="2:38" x14ac:dyDescent="0.2">
      <c r="B26" s="1" t="s">
        <v>89</v>
      </c>
      <c r="C26" s="6" t="s">
        <v>90</v>
      </c>
      <c r="D26" s="5" t="s">
        <v>33</v>
      </c>
      <c r="E26" s="5" t="s">
        <v>17</v>
      </c>
      <c r="AK26" s="5" t="s">
        <v>84</v>
      </c>
      <c r="AL26" s="5"/>
    </row>
    <row r="27" spans="2:38" x14ac:dyDescent="0.2">
      <c r="B27" s="1" t="s">
        <v>91</v>
      </c>
      <c r="C27" s="6" t="s">
        <v>92</v>
      </c>
      <c r="D27" s="5" t="s">
        <v>30</v>
      </c>
      <c r="AK27" s="5" t="s">
        <v>84</v>
      </c>
      <c r="AL27" s="5"/>
    </row>
    <row r="28" spans="2:38" x14ac:dyDescent="0.2">
      <c r="B28" s="1" t="s">
        <v>93</v>
      </c>
      <c r="C28" s="6" t="s">
        <v>94</v>
      </c>
      <c r="D28" s="5" t="s">
        <v>33</v>
      </c>
      <c r="AL28" s="5"/>
    </row>
    <row r="31" spans="2:38" x14ac:dyDescent="0.2">
      <c r="B31" s="1" t="s">
        <v>66</v>
      </c>
      <c r="C31" s="6" t="s">
        <v>67</v>
      </c>
      <c r="D31" s="5" t="s">
        <v>31</v>
      </c>
      <c r="E31" s="5" t="s">
        <v>16</v>
      </c>
      <c r="AK31" s="5" t="s">
        <v>70</v>
      </c>
    </row>
    <row r="32" spans="2:38" x14ac:dyDescent="0.2">
      <c r="B32" s="1" t="s">
        <v>68</v>
      </c>
      <c r="C32" s="6" t="s">
        <v>69</v>
      </c>
      <c r="D32" s="5" t="s">
        <v>33</v>
      </c>
      <c r="E32" s="5" t="s">
        <v>17</v>
      </c>
      <c r="AK32" s="5" t="s">
        <v>70</v>
      </c>
    </row>
    <row r="35" spans="2:38" x14ac:dyDescent="0.2">
      <c r="B35" s="1" t="s">
        <v>106</v>
      </c>
      <c r="C35" s="6" t="s">
        <v>107</v>
      </c>
      <c r="D35" s="5" t="s">
        <v>30</v>
      </c>
      <c r="AK35" s="5" t="s">
        <v>84</v>
      </c>
      <c r="AL35" s="5" t="s">
        <v>112</v>
      </c>
    </row>
    <row r="36" spans="2:38" x14ac:dyDescent="0.2">
      <c r="B36" s="1" t="s">
        <v>108</v>
      </c>
      <c r="C36" s="6" t="s">
        <v>109</v>
      </c>
      <c r="D36" s="5" t="s">
        <v>31</v>
      </c>
      <c r="E36" s="5" t="s">
        <v>16</v>
      </c>
      <c r="T36" s="5" t="s">
        <v>119</v>
      </c>
      <c r="AK36" s="5" t="s">
        <v>84</v>
      </c>
      <c r="AL36" s="5" t="s">
        <v>112</v>
      </c>
    </row>
    <row r="37" spans="2:38" x14ac:dyDescent="0.2">
      <c r="B37" s="1" t="s">
        <v>110</v>
      </c>
      <c r="C37" s="6" t="s">
        <v>111</v>
      </c>
      <c r="D37" s="5" t="s">
        <v>30</v>
      </c>
      <c r="AK37" s="5" t="s">
        <v>84</v>
      </c>
      <c r="AL37" s="5" t="s">
        <v>112</v>
      </c>
    </row>
    <row r="40" spans="2:38" x14ac:dyDescent="0.2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G40" s="5">
        <v>2007</v>
      </c>
      <c r="AH40" s="5">
        <v>2021</v>
      </c>
      <c r="AI40" s="5" t="s">
        <v>117</v>
      </c>
      <c r="AK40" s="5" t="s">
        <v>116</v>
      </c>
      <c r="AL40" s="5" t="s">
        <v>115</v>
      </c>
    </row>
    <row r="41" spans="2:38" x14ac:dyDescent="0.2">
      <c r="G41" s="19"/>
      <c r="H41" s="17"/>
      <c r="AL41" s="5"/>
    </row>
    <row r="42" spans="2:38" x14ac:dyDescent="0.2">
      <c r="G42" s="19"/>
      <c r="H42" s="17"/>
      <c r="AL42" s="5"/>
    </row>
    <row r="43" spans="2:38" x14ac:dyDescent="0.2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332.82*F55</f>
        <v>269.58420000000001</v>
      </c>
      <c r="G43" s="19">
        <v>445.02</v>
      </c>
      <c r="H43" s="17">
        <f>G43*F43</f>
        <v>119970.360684</v>
      </c>
      <c r="AK43" s="5" t="s">
        <v>126</v>
      </c>
      <c r="AL43" s="5" t="s">
        <v>124</v>
      </c>
    </row>
    <row r="44" spans="2:38" x14ac:dyDescent="0.2">
      <c r="B44" s="1" t="s">
        <v>120</v>
      </c>
      <c r="C44" s="6" t="s">
        <v>122</v>
      </c>
      <c r="D44" s="5" t="s">
        <v>30</v>
      </c>
      <c r="E44" s="5" t="s">
        <v>17</v>
      </c>
      <c r="F44" s="16">
        <f>92.06*F55</f>
        <v>74.568600000000004</v>
      </c>
      <c r="G44" s="19">
        <v>193.13</v>
      </c>
      <c r="H44" s="17">
        <f>G44*F44</f>
        <v>14401.433718</v>
      </c>
      <c r="AK44" s="5" t="s">
        <v>126</v>
      </c>
      <c r="AL44" s="5" t="s">
        <v>125</v>
      </c>
    </row>
    <row r="45" spans="2:38" x14ac:dyDescent="0.2">
      <c r="B45" s="1" t="s">
        <v>133</v>
      </c>
      <c r="C45" s="6" t="s">
        <v>134</v>
      </c>
      <c r="D45" s="5" t="s">
        <v>135</v>
      </c>
      <c r="E45" s="5" t="s">
        <v>16</v>
      </c>
      <c r="F45" s="16">
        <v>3.9950000000000001</v>
      </c>
      <c r="G45" s="19">
        <v>16.3</v>
      </c>
      <c r="H45" s="17">
        <f>G45*F45</f>
        <v>65.118500000000012</v>
      </c>
      <c r="AK45" s="5" t="s">
        <v>136</v>
      </c>
      <c r="AL45" s="5" t="s">
        <v>137</v>
      </c>
    </row>
    <row r="46" spans="2:38" x14ac:dyDescent="0.2">
      <c r="G46" s="19"/>
      <c r="H46" s="17"/>
      <c r="AL46" s="5"/>
    </row>
    <row r="47" spans="2:38" x14ac:dyDescent="0.2">
      <c r="B47" s="1" t="s">
        <v>130</v>
      </c>
      <c r="C47" s="6" t="s">
        <v>128</v>
      </c>
      <c r="G47" s="19"/>
      <c r="H47" s="17"/>
      <c r="AL47" s="5"/>
    </row>
    <row r="48" spans="2:38" x14ac:dyDescent="0.2">
      <c r="B48" s="1" t="s">
        <v>131</v>
      </c>
      <c r="C48" s="6" t="s">
        <v>127</v>
      </c>
      <c r="G48" s="19"/>
      <c r="H48" s="17"/>
      <c r="AL48" s="5"/>
    </row>
    <row r="49" spans="2:38" x14ac:dyDescent="0.2">
      <c r="B49" s="1" t="s">
        <v>132</v>
      </c>
      <c r="C49" s="6" t="s">
        <v>129</v>
      </c>
      <c r="G49" s="19"/>
      <c r="H49" s="17"/>
      <c r="AL49" s="5"/>
    </row>
    <row r="50" spans="2:38" x14ac:dyDescent="0.2">
      <c r="G50" s="19"/>
      <c r="H50" s="17"/>
      <c r="AL50" s="5"/>
    </row>
    <row r="54" spans="2:38" x14ac:dyDescent="0.2">
      <c r="E54" s="33" t="s">
        <v>25</v>
      </c>
      <c r="F54" s="34"/>
      <c r="G54" s="9" t="s">
        <v>26</v>
      </c>
    </row>
    <row r="55" spans="2:38" x14ac:dyDescent="0.2">
      <c r="E55" s="10" t="s">
        <v>27</v>
      </c>
      <c r="F55" s="11">
        <v>0.81</v>
      </c>
      <c r="G55" s="12">
        <f>1/F55</f>
        <v>1.2345679012345678</v>
      </c>
    </row>
    <row r="56" spans="2:38" x14ac:dyDescent="0.2">
      <c r="E56" s="13" t="s">
        <v>28</v>
      </c>
      <c r="F56" s="14">
        <v>0.87</v>
      </c>
      <c r="G56" s="15">
        <f>1/F56</f>
        <v>1.1494252873563218</v>
      </c>
    </row>
  </sheetData>
  <mergeCells count="3">
    <mergeCell ref="E54:F54"/>
    <mergeCell ref="F1:J1"/>
    <mergeCell ref="V1:Z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0" r:id="rId4" xr:uid="{2D896F8C-26D2-4CA9-8601-44232CD47DF4}"/>
    <hyperlink ref="B6" r:id="rId5" xr:uid="{3673F69E-DE49-452E-9A7F-9067CB704A93}"/>
    <hyperlink ref="B23" r:id="rId6" xr:uid="{21F4A07B-A91C-4255-B949-9908C8EAC551}"/>
    <hyperlink ref="B21" r:id="rId7" xr:uid="{B9C2E740-5539-4983-8CC4-F329408A4445}"/>
  </hyperlinks>
  <pageMargins left="0.7" right="0.7" top="0.75" bottom="0.75" header="0.3" footer="0.3"/>
  <pageSetup paperSize="256" orientation="portrait" horizontalDpi="203" verticalDpi="20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2023-02-01T14:26:07Z</dcterms:modified>
</cp:coreProperties>
</file>