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F69B63DD-CF82-4347-94ED-33DC8C9818D2}" xr6:coauthVersionLast="36" xr6:coauthVersionMax="47" xr10:uidLastSave="{00000000-0000-0000-0000-000000000000}"/>
  <bookViews>
    <workbookView xWindow="0" yWindow="495" windowWidth="33600" windowHeight="18900" activeTab="1" xr2:uid="{034066B2-28C3-4551-8F6C-62966FA785BB}"/>
  </bookViews>
  <sheets>
    <sheet name="Screener" sheetId="2" r:id="rId1"/>
    <sheet name="Main" sheetId="1" r:id="rId2"/>
    <sheet name="M&amp;A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2" i="1" l="1"/>
  <c r="AH22" i="1"/>
  <c r="AF22" i="1"/>
  <c r="AE22" i="1"/>
  <c r="AD22" i="1"/>
  <c r="AC22" i="1"/>
  <c r="W7" i="1"/>
  <c r="W19" i="1"/>
  <c r="W22" i="1"/>
  <c r="AH7" i="1" l="1"/>
  <c r="AI7" i="1"/>
  <c r="AF7" i="1"/>
  <c r="AE7" i="1"/>
  <c r="AD7" i="1"/>
  <c r="AC7" i="1"/>
  <c r="AH19" i="1" l="1"/>
  <c r="AI19" i="1"/>
  <c r="AF19" i="1"/>
  <c r="AE19" i="1"/>
  <c r="AD19" i="1"/>
  <c r="AC19" i="1"/>
  <c r="S19" i="1"/>
  <c r="T19" i="1"/>
  <c r="AQ52" i="1" l="1"/>
  <c r="AP52" i="1"/>
  <c r="AO52" i="1"/>
  <c r="L52" i="1"/>
  <c r="K52" i="1"/>
  <c r="I52" i="1"/>
  <c r="J52" i="1"/>
  <c r="H52" i="1"/>
  <c r="G52" i="1"/>
  <c r="F52" i="1"/>
  <c r="AQ51" i="1" l="1"/>
  <c r="AP51" i="1"/>
  <c r="AO51" i="1"/>
  <c r="L51" i="1"/>
  <c r="K51" i="1"/>
  <c r="I51" i="1"/>
  <c r="J51" i="1"/>
  <c r="H51" i="1"/>
  <c r="G51" i="1"/>
  <c r="F51" i="1"/>
  <c r="AJ19" i="1" l="1"/>
  <c r="AL11" i="1" l="1"/>
  <c r="AK11" i="1"/>
  <c r="AI11" i="1"/>
  <c r="AJ11" i="1"/>
  <c r="AH11" i="1"/>
  <c r="AL7" i="1" l="1"/>
  <c r="AK7" i="1"/>
  <c r="AJ7" i="1"/>
  <c r="AH5" i="1" l="1"/>
  <c r="AH4" i="1" l="1"/>
  <c r="AJ4" i="1"/>
  <c r="AM23" i="1" l="1"/>
  <c r="AL23" i="1"/>
  <c r="AK23" i="1"/>
  <c r="AJ23" i="1"/>
  <c r="AH23" i="1"/>
  <c r="AJ22" i="1" l="1"/>
  <c r="O22" i="1" l="1"/>
  <c r="N22" i="1"/>
  <c r="M22" i="1"/>
  <c r="X22" i="1" l="1"/>
  <c r="T22" i="1" l="1"/>
  <c r="R22" i="1"/>
  <c r="Q22" i="1" l="1"/>
  <c r="L22" i="1"/>
  <c r="K22" i="1"/>
  <c r="S22" i="1" l="1"/>
  <c r="U22" i="1"/>
  <c r="AP22" i="1"/>
  <c r="AQ22" i="1"/>
  <c r="AO22" i="1"/>
  <c r="G22" i="1"/>
  <c r="F22" i="1"/>
  <c r="I22" i="1"/>
  <c r="J22" i="1" l="1"/>
  <c r="H22" i="1"/>
  <c r="O23" i="1" l="1"/>
  <c r="O19" i="1" l="1"/>
  <c r="O11" i="1" l="1"/>
  <c r="O7" i="1" l="1"/>
  <c r="O4" i="1" l="1"/>
  <c r="K23" i="1" l="1"/>
  <c r="M23" i="1" l="1"/>
  <c r="N23" i="1"/>
  <c r="M4" i="1" l="1"/>
  <c r="M11" i="1"/>
  <c r="N4" i="1"/>
  <c r="M7" i="1" l="1"/>
  <c r="N7" i="1" l="1"/>
  <c r="N11" i="1" l="1"/>
  <c r="L20" i="1" l="1"/>
  <c r="K20" i="1"/>
  <c r="J20" i="1"/>
  <c r="I20" i="1"/>
  <c r="H20" i="1"/>
  <c r="G20" i="1"/>
  <c r="F20" i="1"/>
  <c r="Y19" i="1" l="1"/>
  <c r="X19" i="1"/>
  <c r="H44" i="1" l="1"/>
  <c r="F43" i="1" l="1"/>
  <c r="H43" i="1" s="1"/>
  <c r="F42" i="1"/>
  <c r="H42" i="1" s="1"/>
  <c r="H39" i="1" l="1"/>
  <c r="Q5" i="1" l="1"/>
  <c r="U7" i="1" l="1"/>
  <c r="X7" i="1"/>
  <c r="Y7" i="1"/>
  <c r="Z7" i="1"/>
  <c r="AA7" i="1"/>
  <c r="Y23" i="1" l="1"/>
  <c r="T7" i="1"/>
  <c r="Q7" i="1"/>
  <c r="R7" i="1" l="1"/>
  <c r="Z23" i="1" l="1"/>
  <c r="S7" i="1"/>
  <c r="Y4" i="1" l="1"/>
  <c r="X4" i="1"/>
  <c r="AA11" i="1" l="1"/>
  <c r="Z11" i="1"/>
  <c r="Y11" i="1"/>
  <c r="X11" i="1"/>
  <c r="W11" i="1"/>
  <c r="S11" i="1"/>
  <c r="U11" i="1"/>
  <c r="T11" i="1"/>
  <c r="Q11" i="1"/>
  <c r="R11" i="1"/>
  <c r="R4" i="1" l="1"/>
  <c r="Q4" i="1"/>
  <c r="AO23" i="1" l="1"/>
  <c r="AQ23" i="1"/>
  <c r="AP23" i="1"/>
  <c r="F23" i="1"/>
  <c r="AF11" i="1" l="1"/>
  <c r="AE11" i="1"/>
  <c r="AD11" i="1"/>
  <c r="AC11" i="1"/>
  <c r="L11" i="1"/>
  <c r="K11" i="1"/>
  <c r="I11" i="1"/>
  <c r="G11" i="1"/>
  <c r="F11" i="1"/>
  <c r="H11" i="1" l="1"/>
  <c r="J11" i="1"/>
  <c r="L5" i="1" l="1"/>
  <c r="K5" i="1"/>
  <c r="AF5" i="1"/>
  <c r="AE5" i="1"/>
  <c r="AD5" i="1"/>
  <c r="AC5" i="1"/>
  <c r="AO5" i="1"/>
  <c r="AP5" i="1"/>
  <c r="AQ5" i="1"/>
  <c r="F5" i="1"/>
  <c r="AF4" i="1" l="1"/>
  <c r="AE4" i="1"/>
  <c r="AD4" i="1"/>
  <c r="AC4" i="1"/>
  <c r="F19" i="1" l="1"/>
  <c r="AP19" i="1"/>
  <c r="AQ19" i="1"/>
  <c r="AO19" i="1"/>
  <c r="L19" i="1"/>
  <c r="K19" i="1"/>
  <c r="AQ13" i="1" l="1"/>
  <c r="AQ11" i="1"/>
  <c r="AO11" i="1"/>
  <c r="AP11" i="1"/>
  <c r="AQ4" i="1" l="1"/>
  <c r="AO4" i="1"/>
  <c r="AP4" i="1"/>
  <c r="L4" i="1" l="1"/>
  <c r="J4" i="1"/>
  <c r="I4" i="1"/>
  <c r="H4" i="1"/>
  <c r="G4" i="1"/>
  <c r="F4" i="1"/>
  <c r="K4" i="1"/>
  <c r="AP7" i="1" l="1"/>
  <c r="AQ7" i="1"/>
  <c r="AO7" i="1"/>
  <c r="J7" i="1"/>
  <c r="I7" i="1"/>
  <c r="G7" i="1"/>
  <c r="H7" i="1"/>
  <c r="F7" i="1"/>
  <c r="G58" i="1"/>
  <c r="G57" i="1"/>
  <c r="AA23" i="1" s="1"/>
  <c r="L7" i="1"/>
  <c r="K7" i="1"/>
  <c r="I5" i="1"/>
  <c r="H5" i="1" l="1"/>
  <c r="G5" i="1"/>
  <c r="J5" i="1"/>
  <c r="L23" i="1" l="1"/>
  <c r="AC23" i="1"/>
  <c r="G23" i="1"/>
  <c r="AD23" i="1" l="1"/>
  <c r="I23" i="1"/>
  <c r="Q23" i="1" l="1"/>
  <c r="AF23" i="1"/>
  <c r="AE23" i="1" l="1"/>
  <c r="X23" i="1" l="1"/>
  <c r="T23" i="1" l="1"/>
  <c r="R23" i="1"/>
  <c r="H23" i="1"/>
  <c r="J23" i="1" l="1"/>
  <c r="S23" i="1"/>
  <c r="U23" i="1"/>
  <c r="G19" i="1" l="1"/>
  <c r="Q19" i="1" l="1"/>
  <c r="H19" i="1" l="1"/>
  <c r="I19" i="1" l="1"/>
  <c r="J19" i="1"/>
  <c r="R19" i="1" l="1"/>
  <c r="N19" i="1" l="1"/>
  <c r="M19" i="1" l="1"/>
</calcChain>
</file>

<file path=xl/sharedStrings.xml><?xml version="1.0" encoding="utf-8"?>
<sst xmlns="http://schemas.openxmlformats.org/spreadsheetml/2006/main" count="236" uniqueCount="161">
  <si>
    <t>Ticker</t>
  </si>
  <si>
    <t>Company Name</t>
  </si>
  <si>
    <t>Currency</t>
  </si>
  <si>
    <t>Market</t>
  </si>
  <si>
    <t>Price</t>
  </si>
  <si>
    <t>S/O</t>
  </si>
  <si>
    <t>MCAP</t>
  </si>
  <si>
    <t>Net Cash</t>
  </si>
  <si>
    <t>EV</t>
  </si>
  <si>
    <t>£SGE</t>
  </si>
  <si>
    <t>IPO</t>
  </si>
  <si>
    <t>HQ</t>
  </si>
  <si>
    <t>Founded</t>
  </si>
  <si>
    <t>Notes</t>
  </si>
  <si>
    <t>$TWLO</t>
  </si>
  <si>
    <t>Business Software</t>
  </si>
  <si>
    <t>£</t>
  </si>
  <si>
    <t>$</t>
  </si>
  <si>
    <t>GM %</t>
  </si>
  <si>
    <t>OM %</t>
  </si>
  <si>
    <t>NM %</t>
  </si>
  <si>
    <t>Tax Rate</t>
  </si>
  <si>
    <t>Update</t>
  </si>
  <si>
    <t>Released</t>
  </si>
  <si>
    <t>Twilio Inc.</t>
  </si>
  <si>
    <t>Variables</t>
  </si>
  <si>
    <t>Inverse</t>
  </si>
  <si>
    <t>USDGBP</t>
  </si>
  <si>
    <t>EURGBP</t>
  </si>
  <si>
    <t>Normalised to Pound Sterling (GBP)</t>
  </si>
  <si>
    <t>NYSE</t>
  </si>
  <si>
    <t>LSE</t>
  </si>
  <si>
    <t>$MDB</t>
  </si>
  <si>
    <t>NASDAQ</t>
  </si>
  <si>
    <t>$CRM</t>
  </si>
  <si>
    <t>Salesforce, Inc.</t>
  </si>
  <si>
    <t>Sage Group Plc.</t>
  </si>
  <si>
    <t>MongoDB, Inc.</t>
  </si>
  <si>
    <t>Sub-Sector</t>
  </si>
  <si>
    <t>Database</t>
  </si>
  <si>
    <t>Tech</t>
  </si>
  <si>
    <t>$ORCL</t>
  </si>
  <si>
    <t>Oracle Corporation</t>
  </si>
  <si>
    <t>Notifications (SMS)</t>
  </si>
  <si>
    <t>Cloud CRM</t>
  </si>
  <si>
    <t>Cloud CRM/ERP &amp; Database</t>
  </si>
  <si>
    <t>Cloud ERP</t>
  </si>
  <si>
    <t>API</t>
  </si>
  <si>
    <t>$NET</t>
  </si>
  <si>
    <t>Cloudflare Inc.</t>
  </si>
  <si>
    <t>Infrastructure</t>
  </si>
  <si>
    <t>DNS, Cyber-Security</t>
  </si>
  <si>
    <t>$WORK</t>
  </si>
  <si>
    <t>Slack Technologies Inc.</t>
  </si>
  <si>
    <t>Application</t>
  </si>
  <si>
    <t>Instant Messaging</t>
  </si>
  <si>
    <t>$U</t>
  </si>
  <si>
    <t>$RBLX</t>
  </si>
  <si>
    <t>Unity Software Inc.</t>
  </si>
  <si>
    <t>Roblox Corporation</t>
  </si>
  <si>
    <t>Video Games</t>
  </si>
  <si>
    <t>Game Dev</t>
  </si>
  <si>
    <t>Game Dev, Metaverse</t>
  </si>
  <si>
    <t>$GTLB</t>
  </si>
  <si>
    <t>GitLab Inc.</t>
  </si>
  <si>
    <t>Source Control</t>
  </si>
  <si>
    <t>£DARK</t>
  </si>
  <si>
    <t>DarkTrace Plc.</t>
  </si>
  <si>
    <t>$MCFE</t>
  </si>
  <si>
    <t>McAfee Corp.</t>
  </si>
  <si>
    <t>Cyber Security</t>
  </si>
  <si>
    <t>Acquired by Salesforce (CRM) in July 2021</t>
  </si>
  <si>
    <t>M&amp;A Value</t>
  </si>
  <si>
    <t>M&amp;A Date</t>
  </si>
  <si>
    <t>$27.7bn</t>
  </si>
  <si>
    <t>July 21 2021</t>
  </si>
  <si>
    <t>$TEAM</t>
  </si>
  <si>
    <t>Atalassian Corporation</t>
  </si>
  <si>
    <t>Developer Software</t>
  </si>
  <si>
    <t>Project Management</t>
  </si>
  <si>
    <t>$MRDB</t>
  </si>
  <si>
    <t>MariaDB Plc.</t>
  </si>
  <si>
    <t>$EBAY</t>
  </si>
  <si>
    <t>$AMZN</t>
  </si>
  <si>
    <t>E-Commerce</t>
  </si>
  <si>
    <t>eBay Inc.</t>
  </si>
  <si>
    <t>Online Auction</t>
  </si>
  <si>
    <t>$SHOP</t>
  </si>
  <si>
    <t>Shopify Inc.</t>
  </si>
  <si>
    <t>$ETSY</t>
  </si>
  <si>
    <t>Etsy Inc.</t>
  </si>
  <si>
    <t>$BABA</t>
  </si>
  <si>
    <t>Alibaba Group Holding Ltd</t>
  </si>
  <si>
    <t>$JD</t>
  </si>
  <si>
    <t>JD.com, Inc.</t>
  </si>
  <si>
    <t>P/B [C]</t>
  </si>
  <si>
    <t>P/S [C]</t>
  </si>
  <si>
    <t>EV/S [C]</t>
  </si>
  <si>
    <t>P/E [C]</t>
  </si>
  <si>
    <t>EV/E [C]</t>
  </si>
  <si>
    <t>FY21 E</t>
  </si>
  <si>
    <t>FY20 E</t>
  </si>
  <si>
    <t>FY19 E</t>
  </si>
  <si>
    <t>FY18 E</t>
  </si>
  <si>
    <t>FY22 E</t>
  </si>
  <si>
    <t>Normalised to Pound Sterling (GBP) [millions]</t>
  </si>
  <si>
    <t>$CVNA</t>
  </si>
  <si>
    <t>Carvana</t>
  </si>
  <si>
    <t>£AUTO</t>
  </si>
  <si>
    <t>Auto Trader Group Plc</t>
  </si>
  <si>
    <t>$CZOO</t>
  </si>
  <si>
    <t>Cazoo Group Ltd</t>
  </si>
  <si>
    <t>Online Auto Sales</t>
  </si>
  <si>
    <t>£TRST</t>
  </si>
  <si>
    <t>Trustpilot Group Plc</t>
  </si>
  <si>
    <t>Reviews</t>
  </si>
  <si>
    <t>Social Media</t>
  </si>
  <si>
    <t>Copenhagen, Denmark</t>
  </si>
  <si>
    <t>E-Commerce, Logistics, Cloud</t>
  </si>
  <si>
    <t>`</t>
  </si>
  <si>
    <t>$SPOT</t>
  </si>
  <si>
    <t>$NFLX</t>
  </si>
  <si>
    <t>Spotify Technology S.A.</t>
  </si>
  <si>
    <t>Netflix, Inc.</t>
  </si>
  <si>
    <t>Movies</t>
  </si>
  <si>
    <t>Music</t>
  </si>
  <si>
    <t>SaaS Streaming</t>
  </si>
  <si>
    <t>Computacenter Plc</t>
  </si>
  <si>
    <t>Idox Plc</t>
  </si>
  <si>
    <t>Softcat Plc</t>
  </si>
  <si>
    <t>£IDOX</t>
  </si>
  <si>
    <t>£CCC</t>
  </si>
  <si>
    <t>£SCT</t>
  </si>
  <si>
    <t>£BOOM</t>
  </si>
  <si>
    <t>Audioboom Group Plc.</t>
  </si>
  <si>
    <t>AIM</t>
  </si>
  <si>
    <t>Saas Streaming</t>
  </si>
  <si>
    <t>Podcasts</t>
  </si>
  <si>
    <t>Amazon.com, Inc.</t>
  </si>
  <si>
    <t>-</t>
  </si>
  <si>
    <t>Target</t>
  </si>
  <si>
    <t>Upside</t>
  </si>
  <si>
    <t>E-Commerce, Hosting</t>
  </si>
  <si>
    <t>Discount</t>
  </si>
  <si>
    <t>RevG [C]</t>
  </si>
  <si>
    <t>RevG 22</t>
  </si>
  <si>
    <t>RevG21</t>
  </si>
  <si>
    <t>RevG 20</t>
  </si>
  <si>
    <t>RevG 19</t>
  </si>
  <si>
    <t>RevG18</t>
  </si>
  <si>
    <t>$MSFT</t>
  </si>
  <si>
    <t>$GOOG</t>
  </si>
  <si>
    <t>$META</t>
  </si>
  <si>
    <t>$AAPL</t>
  </si>
  <si>
    <t>Microsoft Corporation</t>
  </si>
  <si>
    <t>Cloud, OS, Gaming, AI</t>
  </si>
  <si>
    <t>Big Tech</t>
  </si>
  <si>
    <t>Facebook, WhatsApp, Instagram</t>
  </si>
  <si>
    <t>Search, Services, Cloud, AI</t>
  </si>
  <si>
    <t>Hardware, Services</t>
  </si>
  <si>
    <t>Alphabet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</si>
</sst>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1" applyFont="1"/>
    <xf numFmtId="17" fontId="1" fillId="0" borderId="0" xfId="0" applyNumberFormat="1" applyFont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1" fillId="5" borderId="5" xfId="0" applyNumberFormat="1" applyFont="1" applyFill="1" applyBorder="1" applyAlignment="1">
      <alignment horizontal="center"/>
    </xf>
    <xf numFmtId="2" fontId="5" fillId="6" borderId="6" xfId="0" applyNumberFormat="1" applyFont="1" applyFill="1" applyBorder="1"/>
    <xf numFmtId="0" fontId="1" fillId="2" borderId="7" xfId="0" applyFont="1" applyFill="1" applyBorder="1" applyAlignment="1">
      <alignment horizontal="center"/>
    </xf>
    <xf numFmtId="2" fontId="1" fillId="5" borderId="8" xfId="0" applyNumberFormat="1" applyFont="1" applyFill="1" applyBorder="1" applyAlignment="1">
      <alignment horizontal="center"/>
    </xf>
    <xf numFmtId="2" fontId="5" fillId="6" borderId="9" xfId="0" applyNumberFormat="1" applyFont="1" applyFill="1" applyBorder="1"/>
    <xf numFmtId="4" fontId="1" fillId="0" borderId="0" xfId="0" applyNumberFormat="1" applyFont="1"/>
    <xf numFmtId="164" fontId="1" fillId="0" borderId="0" xfId="0" applyNumberFormat="1" applyFont="1"/>
    <xf numFmtId="9" fontId="1" fillId="0" borderId="0" xfId="0" applyNumberFormat="1" applyFont="1" applyAlignment="1">
      <alignment horizontal="center"/>
    </xf>
    <xf numFmtId="165" fontId="1" fillId="0" borderId="0" xfId="0" applyNumberFormat="1" applyFont="1"/>
    <xf numFmtId="16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8" borderId="0" xfId="0" applyFont="1" applyFill="1" applyAlignment="1">
      <alignment horizontal="center"/>
    </xf>
    <xf numFmtId="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7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3" fontId="1" fillId="0" borderId="0" xfId="0" applyNumberFormat="1" applyFont="1"/>
    <xf numFmtId="17" fontId="1" fillId="0" borderId="0" xfId="0" applyNumberFormat="1" applyFont="1" applyAlignment="1">
      <alignment horizontal="right"/>
    </xf>
    <xf numFmtId="17" fontId="1" fillId="8" borderId="0" xfId="0" applyNumberFormat="1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MDB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GOO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MR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TWL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U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SHOP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EBA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$MSF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191.75</v>
          </cell>
        </row>
        <row r="7">
          <cell r="C7">
            <v>68.916813000000005</v>
          </cell>
        </row>
        <row r="8">
          <cell r="C8">
            <v>13214.798892750001</v>
          </cell>
        </row>
        <row r="11">
          <cell r="C11">
            <v>648.49</v>
          </cell>
        </row>
        <row r="12">
          <cell r="C12">
            <v>12566.308892750001</v>
          </cell>
        </row>
        <row r="23">
          <cell r="C23" t="str">
            <v>New York City, NY</v>
          </cell>
        </row>
        <row r="24">
          <cell r="C24">
            <v>2007</v>
          </cell>
        </row>
        <row r="25">
          <cell r="C25">
            <v>2017</v>
          </cell>
        </row>
        <row r="28">
          <cell r="C28" t="str">
            <v>FQ323</v>
          </cell>
          <cell r="D28">
            <v>44901</v>
          </cell>
        </row>
        <row r="33">
          <cell r="C33">
            <v>19.311919490429393</v>
          </cell>
        </row>
        <row r="34">
          <cell r="C34">
            <v>11.112137929461445</v>
          </cell>
        </row>
      </sheetData>
      <sheetData sheetId="1">
        <row r="15">
          <cell r="AG15">
            <v>-209.30399999999997</v>
          </cell>
        </row>
        <row r="21">
          <cell r="AH21">
            <v>-306.86599999999999</v>
          </cell>
        </row>
        <row r="23">
          <cell r="AU23">
            <v>0.08</v>
          </cell>
        </row>
        <row r="26">
          <cell r="Y26">
            <v>0.47038912615197459</v>
          </cell>
          <cell r="AH26">
            <v>0.48003319895660423</v>
          </cell>
        </row>
        <row r="27">
          <cell r="AU27">
            <v>178.03749057058687</v>
          </cell>
        </row>
        <row r="29">
          <cell r="X29">
            <v>0.70928999538958049</v>
          </cell>
          <cell r="AU29">
            <v>-7.1512435094722937E-2</v>
          </cell>
        </row>
        <row r="30">
          <cell r="X30">
            <v>-0.37819600869393383</v>
          </cell>
        </row>
        <row r="31">
          <cell r="X31">
            <v>-0.39144108542448774</v>
          </cell>
        </row>
        <row r="32">
          <cell r="X32">
            <v>-2.6326241624645998E-2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95.46</v>
          </cell>
        </row>
        <row r="7">
          <cell r="C7">
            <v>13523</v>
          </cell>
        </row>
        <row r="8">
          <cell r="C8">
            <v>1290905.5799999998</v>
          </cell>
        </row>
        <row r="11">
          <cell r="C11">
            <v>0</v>
          </cell>
        </row>
        <row r="12">
          <cell r="C12">
            <v>1290905.5799999998</v>
          </cell>
        </row>
        <row r="23">
          <cell r="C23" t="str">
            <v>Mountain View, CA</v>
          </cell>
        </row>
        <row r="24">
          <cell r="C24">
            <v>1998</v>
          </cell>
        </row>
        <row r="25">
          <cell r="C25">
            <v>2004</v>
          </cell>
        </row>
        <row r="28">
          <cell r="C28"/>
          <cell r="D28"/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4.0199999999999996</v>
          </cell>
        </row>
        <row r="7">
          <cell r="C7">
            <v>58.801357000000003</v>
          </cell>
        </row>
        <row r="8">
          <cell r="C8">
            <v>236.38145513999999</v>
          </cell>
        </row>
        <row r="11">
          <cell r="C11">
            <v>16.010999999999999</v>
          </cell>
        </row>
        <row r="12">
          <cell r="C12">
            <v>220.37045513999999</v>
          </cell>
        </row>
        <row r="23">
          <cell r="C23" t="str">
            <v>Redwood City, CA</v>
          </cell>
        </row>
        <row r="24">
          <cell r="C24">
            <v>2010</v>
          </cell>
        </row>
        <row r="25">
          <cell r="C25">
            <v>2022</v>
          </cell>
        </row>
        <row r="28">
          <cell r="C28" t="str">
            <v>Q322</v>
          </cell>
          <cell r="D28">
            <v>42705</v>
          </cell>
        </row>
        <row r="34">
          <cell r="C34">
            <v>26.782399177430296</v>
          </cell>
        </row>
      </sheetData>
      <sheetData sheetId="1">
        <row r="25">
          <cell r="J25">
            <v>0.21252241299870667</v>
          </cell>
        </row>
        <row r="28">
          <cell r="J28">
            <v>0.68957308000457829</v>
          </cell>
        </row>
        <row r="29">
          <cell r="J29">
            <v>-1.1077257639922169</v>
          </cell>
        </row>
        <row r="30">
          <cell r="J30">
            <v>-1.1136774636602953</v>
          </cell>
        </row>
        <row r="31">
          <cell r="J31">
            <v>-1.6676961087090797E-3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  <sheetName val="Price History"/>
    </sheetNames>
    <sheetDataSet>
      <sheetData sheetId="0">
        <row r="6">
          <cell r="C6">
            <v>74.5</v>
          </cell>
        </row>
        <row r="7">
          <cell r="C7">
            <v>185.12070199999999</v>
          </cell>
        </row>
        <row r="8">
          <cell r="C8">
            <v>13791.492299</v>
          </cell>
        </row>
        <row r="11">
          <cell r="C11">
            <v>3146.3969999999995</v>
          </cell>
        </row>
        <row r="12">
          <cell r="C12">
            <v>10645.095299000001</v>
          </cell>
        </row>
        <row r="23">
          <cell r="C23" t="str">
            <v>San Francisco, CA</v>
          </cell>
        </row>
        <row r="24">
          <cell r="C24">
            <v>2008</v>
          </cell>
        </row>
        <row r="25">
          <cell r="C25">
            <v>2016</v>
          </cell>
        </row>
        <row r="28">
          <cell r="C28" t="str">
            <v>Q422</v>
          </cell>
          <cell r="D28">
            <v>42036</v>
          </cell>
        </row>
        <row r="33">
          <cell r="C33">
            <v>1.3062048719295314</v>
          </cell>
        </row>
        <row r="34">
          <cell r="C34">
            <v>3.6043740969458646</v>
          </cell>
        </row>
        <row r="35">
          <cell r="C35">
            <v>2.7820706362586933</v>
          </cell>
        </row>
        <row r="36">
          <cell r="C36">
            <v>-10.859651614989419</v>
          </cell>
        </row>
        <row r="37">
          <cell r="C37">
            <v>-8.4744160100943784</v>
          </cell>
        </row>
      </sheetData>
      <sheetData sheetId="1">
        <row r="18">
          <cell r="Y18">
            <v>-121.94900000000001</v>
          </cell>
          <cell r="Z18">
            <v>-307.06299999999993</v>
          </cell>
          <cell r="AA18">
            <v>-490.97899999999981</v>
          </cell>
          <cell r="AB18">
            <v>-949.90000000000009</v>
          </cell>
          <cell r="AC18">
            <v>-1256.1449999999998</v>
          </cell>
        </row>
        <row r="22">
          <cell r="V22">
            <v>0.21575947144091212</v>
          </cell>
          <cell r="Z22">
            <v>0.74515549935622039</v>
          </cell>
          <cell r="AA22">
            <v>0.55295345483521796</v>
          </cell>
          <cell r="AB22">
            <v>0.613053532344634</v>
          </cell>
          <cell r="AC22">
            <v>0.34642426963666861</v>
          </cell>
        </row>
        <row r="25">
          <cell r="V25">
            <v>0.47005177868427206</v>
          </cell>
        </row>
        <row r="26">
          <cell r="V26">
            <v>-0.2133247574113728</v>
          </cell>
          <cell r="AP26">
            <v>0.08</v>
          </cell>
        </row>
        <row r="27">
          <cell r="V27">
            <v>-0.2239194045525261</v>
          </cell>
        </row>
        <row r="28">
          <cell r="V28">
            <v>-0.01</v>
          </cell>
        </row>
        <row r="30">
          <cell r="AP30">
            <v>52.602738134717463</v>
          </cell>
        </row>
        <row r="32">
          <cell r="AP32">
            <v>-0.29392297805748369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7.4459999999999997</v>
          </cell>
        </row>
        <row r="7">
          <cell r="C7">
            <v>1020</v>
          </cell>
        </row>
        <row r="8">
          <cell r="C8">
            <v>7594.92</v>
          </cell>
        </row>
        <row r="11">
          <cell r="C11">
            <v>-729</v>
          </cell>
        </row>
        <row r="12">
          <cell r="C12">
            <v>8323.92</v>
          </cell>
        </row>
        <row r="23">
          <cell r="C23" t="str">
            <v>Newcastle, UK</v>
          </cell>
        </row>
        <row r="24">
          <cell r="C24">
            <v>1981</v>
          </cell>
        </row>
        <row r="25">
          <cell r="C25">
            <v>1989</v>
          </cell>
        </row>
        <row r="27">
          <cell r="C27" t="str">
            <v>FY22</v>
          </cell>
          <cell r="D27">
            <v>44881</v>
          </cell>
        </row>
        <row r="32">
          <cell r="C32">
            <v>29.901259842519682</v>
          </cell>
        </row>
        <row r="33">
          <cell r="C33">
            <v>3.9008320493066257</v>
          </cell>
        </row>
        <row r="34">
          <cell r="C34">
            <v>5.5155555555555553</v>
          </cell>
        </row>
        <row r="35">
          <cell r="C35">
            <v>4.2752542372881353</v>
          </cell>
        </row>
        <row r="36">
          <cell r="C36">
            <v>32.771338582677167</v>
          </cell>
        </row>
      </sheetData>
      <sheetData sheetId="1">
        <row r="13">
          <cell r="R13">
            <v>295</v>
          </cell>
          <cell r="S13">
            <v>266</v>
          </cell>
          <cell r="T13">
            <v>310</v>
          </cell>
          <cell r="U13">
            <v>285</v>
          </cell>
          <cell r="V13">
            <v>254</v>
          </cell>
        </row>
        <row r="17">
          <cell r="V17">
            <v>0.92912172573189522</v>
          </cell>
        </row>
        <row r="18">
          <cell r="V18">
            <v>0.18849512069851052</v>
          </cell>
          <cell r="AH18">
            <v>0.06</v>
          </cell>
        </row>
        <row r="19">
          <cell r="V19">
            <v>0.13045711350796096</v>
          </cell>
        </row>
        <row r="20">
          <cell r="V20">
            <v>0.24629080118694363</v>
          </cell>
        </row>
        <row r="22">
          <cell r="J22">
            <v>0.11441144114411439</v>
          </cell>
          <cell r="S22">
            <v>4.8754062838569867E-2</v>
          </cell>
          <cell r="T22">
            <v>-1.7045454545454586E-2</v>
          </cell>
          <cell r="U22">
            <v>-2.9952706253284278E-2</v>
          </cell>
          <cell r="V22">
            <v>5.4712892741061836E-2</v>
          </cell>
          <cell r="AH22">
            <v>6.3308923646501336</v>
          </cell>
        </row>
        <row r="24">
          <cell r="AH24">
            <v>-0.14975928489791379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Metrics"/>
    </sheetNames>
    <sheetDataSet>
      <sheetData sheetId="0">
        <row r="6">
          <cell r="C6">
            <v>41.46</v>
          </cell>
          <cell r="G6" t="str">
            <v>San Mateo, CA</v>
          </cell>
        </row>
        <row r="7">
          <cell r="C7">
            <v>601.85900000000004</v>
          </cell>
          <cell r="G7">
            <v>2021</v>
          </cell>
        </row>
        <row r="8">
          <cell r="C8">
            <v>24953.074140000001</v>
          </cell>
          <cell r="G8">
            <v>2004</v>
          </cell>
        </row>
        <row r="11">
          <cell r="C11">
            <v>1988.4900000000002</v>
          </cell>
          <cell r="G11" t="str">
            <v>Q422</v>
          </cell>
          <cell r="H11">
            <v>42036</v>
          </cell>
        </row>
        <row r="12">
          <cell r="C12">
            <v>22964.584140000003</v>
          </cell>
        </row>
        <row r="16">
          <cell r="G16">
            <v>81.803970495189361</v>
          </cell>
        </row>
        <row r="17">
          <cell r="G17">
            <v>11.214602687937182</v>
          </cell>
        </row>
        <row r="18">
          <cell r="G18">
            <v>-26.466723449006508</v>
          </cell>
        </row>
        <row r="19">
          <cell r="G19">
            <v>10.32092020321323</v>
          </cell>
        </row>
      </sheetData>
      <sheetData sheetId="1">
        <row r="18">
          <cell r="V18">
            <v>-260.81599999999992</v>
          </cell>
          <cell r="W18">
            <v>-503.48999999999995</v>
          </cell>
          <cell r="X18">
            <v>-934.68300000000011</v>
          </cell>
        </row>
        <row r="22">
          <cell r="N22">
            <v>0.75400515367769483</v>
          </cell>
          <cell r="AP22">
            <v>0.09</v>
          </cell>
        </row>
        <row r="23">
          <cell r="N23">
            <v>-0.52141090562414072</v>
          </cell>
        </row>
        <row r="24">
          <cell r="N24">
            <v>-0.50342484680589428</v>
          </cell>
        </row>
        <row r="25">
          <cell r="N25">
            <v>-1.1107141246622243E-2</v>
          </cell>
        </row>
        <row r="26">
          <cell r="AP26">
            <v>64.111668818778071</v>
          </cell>
        </row>
        <row r="28">
          <cell r="N28">
            <v>1.7995003243847618E-2</v>
          </cell>
          <cell r="W28">
            <v>1.0772942519902369</v>
          </cell>
          <cell r="X28">
            <v>0.15937579623808262</v>
          </cell>
          <cell r="AP28">
            <v>0.54634994738972664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33.43</v>
          </cell>
        </row>
        <row r="7">
          <cell r="C7">
            <v>296.01300300000003</v>
          </cell>
        </row>
        <row r="8">
          <cell r="C8">
            <v>9895.7146902900004</v>
          </cell>
        </row>
        <row r="11">
          <cell r="C11">
            <v>-525.80999999999995</v>
          </cell>
        </row>
        <row r="12">
          <cell r="C12">
            <v>10421.52469029</v>
          </cell>
        </row>
        <row r="26">
          <cell r="C26" t="str">
            <v>Q122</v>
          </cell>
          <cell r="D26"/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</sheetNames>
    <sheetDataSet>
      <sheetData sheetId="0">
        <row r="6">
          <cell r="C6">
            <v>48.2</v>
          </cell>
        </row>
        <row r="7">
          <cell r="C7">
            <v>1273.338804</v>
          </cell>
        </row>
        <row r="8">
          <cell r="C8">
            <v>61374.930352800002</v>
          </cell>
        </row>
        <row r="11">
          <cell r="C11">
            <v>4139.6379999999999</v>
          </cell>
        </row>
        <row r="12">
          <cell r="C12">
            <v>57235.292352800003</v>
          </cell>
        </row>
        <row r="23">
          <cell r="C23" t="str">
            <v>Ottowa, Canada</v>
          </cell>
        </row>
        <row r="24">
          <cell r="C24">
            <v>2004</v>
          </cell>
        </row>
        <row r="25">
          <cell r="C25">
            <v>2015</v>
          </cell>
        </row>
        <row r="28">
          <cell r="C28" t="str">
            <v>Q422</v>
          </cell>
          <cell r="D28">
            <v>42036</v>
          </cell>
        </row>
        <row r="33">
          <cell r="C33">
            <v>7.4494182835574083</v>
          </cell>
        </row>
        <row r="34">
          <cell r="C34">
            <v>10.960075164825431</v>
          </cell>
        </row>
        <row r="35">
          <cell r="C35">
            <v>10.220836140449125</v>
          </cell>
        </row>
        <row r="36">
          <cell r="C36">
            <v>-3.6325285629149069</v>
          </cell>
        </row>
        <row r="37">
          <cell r="C37">
            <v>-16.539993825254641</v>
          </cell>
        </row>
      </sheetData>
      <sheetData sheetId="1">
        <row r="20">
          <cell r="AB20">
            <v>2914.6589999999997</v>
          </cell>
          <cell r="AC20">
            <v>-3460.4179999999992</v>
          </cell>
        </row>
        <row r="24">
          <cell r="V24">
            <v>0.25720857028573407</v>
          </cell>
          <cell r="AB24">
            <v>0.57428577182862139</v>
          </cell>
          <cell r="AC24">
            <v>0.21423218764853047</v>
          </cell>
          <cell r="AP24">
            <v>7.0000000000000007E-2</v>
          </cell>
        </row>
        <row r="28">
          <cell r="AP28">
            <v>27.310648363768447</v>
          </cell>
        </row>
        <row r="29">
          <cell r="V29">
            <v>0.46024099441030381</v>
          </cell>
        </row>
        <row r="30">
          <cell r="AP30">
            <v>-0.43338903809609031</v>
          </cell>
        </row>
        <row r="32">
          <cell r="V32">
            <v>-0.10879042846652805</v>
          </cell>
        </row>
        <row r="33">
          <cell r="V33">
            <v>-0.35948236807613693</v>
          </cell>
        </row>
        <row r="34">
          <cell r="V34">
            <v>-1.4783406659203918E-2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49.5</v>
          </cell>
        </row>
        <row r="7">
          <cell r="C7">
            <v>542.659087</v>
          </cell>
        </row>
        <row r="8">
          <cell r="C8">
            <v>26861.6248065</v>
          </cell>
        </row>
        <row r="11">
          <cell r="C11">
            <v>-4235</v>
          </cell>
        </row>
        <row r="12">
          <cell r="C12">
            <v>31096.6248065</v>
          </cell>
        </row>
        <row r="23">
          <cell r="C23" t="str">
            <v>San Jose, CA</v>
          </cell>
        </row>
        <row r="24">
          <cell r="C24">
            <v>1995</v>
          </cell>
        </row>
        <row r="25">
          <cell r="C25">
            <v>1998</v>
          </cell>
        </row>
        <row r="28">
          <cell r="C28" t="str">
            <v>Q322</v>
          </cell>
          <cell r="D28">
            <v>37561</v>
          </cell>
        </row>
        <row r="33">
          <cell r="C33">
            <v>5.5350555958170204</v>
          </cell>
        </row>
        <row r="34">
          <cell r="C34">
            <v>2.7138436862497475</v>
          </cell>
        </row>
        <row r="35">
          <cell r="C35">
            <v>3.1417079012426754</v>
          </cell>
        </row>
        <row r="36">
          <cell r="C36">
            <v>-421.2402023888468</v>
          </cell>
        </row>
        <row r="37">
          <cell r="C37">
            <v>1110.5937430892857</v>
          </cell>
        </row>
      </sheetData>
      <sheetData sheetId="1">
        <row r="20">
          <cell r="AC20">
            <v>1725</v>
          </cell>
          <cell r="AD20">
            <v>7266</v>
          </cell>
          <cell r="AE20">
            <v>-1347</v>
          </cell>
        </row>
        <row r="24">
          <cell r="Y24">
            <v>-4.8380647740903671E-2</v>
          </cell>
          <cell r="AF24">
            <v>8.2502266545784186E-2</v>
          </cell>
          <cell r="AG24">
            <v>-0.14805509026614549</v>
          </cell>
          <cell r="AH24">
            <v>0.17018022938285093</v>
          </cell>
          <cell r="AI24">
            <v>-2.7349948660505885E-2</v>
          </cell>
        </row>
        <row r="25">
          <cell r="AW25">
            <v>0.08</v>
          </cell>
        </row>
        <row r="27">
          <cell r="U27">
            <v>0.72890843662534988</v>
          </cell>
        </row>
        <row r="28">
          <cell r="U28">
            <v>0.2646941223510596</v>
          </cell>
        </row>
        <row r="29">
          <cell r="U29">
            <v>0.10555777688924431</v>
          </cell>
          <cell r="AW29">
            <v>57.281112716189718</v>
          </cell>
        </row>
        <row r="30">
          <cell r="U30">
            <v>0.34792626728110598</v>
          </cell>
        </row>
        <row r="31">
          <cell r="AW31">
            <v>0.15719419628666098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256.88</v>
          </cell>
        </row>
        <row r="7">
          <cell r="C7">
            <v>7440</v>
          </cell>
        </row>
        <row r="11">
          <cell r="C11">
            <v>0</v>
          </cell>
        </row>
        <row r="12">
          <cell r="C12">
            <v>1911187.2</v>
          </cell>
        </row>
        <row r="23">
          <cell r="C23" t="str">
            <v>Redmond, WA</v>
          </cell>
        </row>
        <row r="24">
          <cell r="C24">
            <v>1975</v>
          </cell>
        </row>
        <row r="25">
          <cell r="C25">
            <v>1986</v>
          </cell>
        </row>
        <row r="29">
          <cell r="C29"/>
          <cell r="D29"/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$SHOP.xlsx" TargetMode="External"/><Relationship Id="rId3" Type="http://schemas.openxmlformats.org/officeDocument/2006/relationships/hyperlink" Target="$MDB.xlsx" TargetMode="External"/><Relationship Id="rId7" Type="http://schemas.openxmlformats.org/officeDocument/2006/relationships/hyperlink" Target="$U.xlsx" TargetMode="External"/><Relationship Id="rId2" Type="http://schemas.openxmlformats.org/officeDocument/2006/relationships/hyperlink" Target="&#163;SGE.xlsx" TargetMode="External"/><Relationship Id="rId1" Type="http://schemas.openxmlformats.org/officeDocument/2006/relationships/hyperlink" Target="$TWLO.xlsx" TargetMode="External"/><Relationship Id="rId6" Type="http://schemas.openxmlformats.org/officeDocument/2006/relationships/hyperlink" Target="$EBAY.xlsx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$MRDB.xlsx" TargetMode="External"/><Relationship Id="rId10" Type="http://schemas.openxmlformats.org/officeDocument/2006/relationships/hyperlink" Target="$GOOG.xlsx" TargetMode="External"/><Relationship Id="rId4" Type="http://schemas.openxmlformats.org/officeDocument/2006/relationships/hyperlink" Target="$RBLX.xlsx" TargetMode="External"/><Relationship Id="rId9" Type="http://schemas.openxmlformats.org/officeDocument/2006/relationships/hyperlink" Target="$MSF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B37B-E7FC-4AFC-8844-CCC333F44F1D}">
  <sheetPr>
    <tabColor theme="7"/>
  </sheetPr>
  <dimension ref="A1"/>
  <sheetViews>
    <sheetView workbookViewId="0">
      <selection activeCell="I37" sqref="I37"/>
    </sheetView>
  </sheetViews>
  <sheetFormatPr defaultColWidth="9.140625" defaultRowHeight="12.75" x14ac:dyDescent="0.2"/>
  <cols>
    <col min="1" max="16384" width="9.1406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CD5B-C727-4CC0-ACC4-210B76523995}">
  <dimension ref="A1:AT58"/>
  <sheetViews>
    <sheetView tabSelected="1" zoomScale="96" zoomScaleNormal="96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P23" sqref="P22:P23"/>
    </sheetView>
  </sheetViews>
  <sheetFormatPr defaultColWidth="9.140625" defaultRowHeight="12.75" x14ac:dyDescent="0.2"/>
  <cols>
    <col min="1" max="1" width="4.28515625" style="1" customWidth="1"/>
    <col min="2" max="2" width="9.140625" style="1"/>
    <col min="3" max="3" width="23" style="6" bestFit="1" customWidth="1"/>
    <col min="4" max="5" width="9.140625" style="5"/>
    <col min="6" max="7" width="9.140625" style="1"/>
    <col min="8" max="8" width="9.42578125" style="1" bestFit="1" customWidth="1"/>
    <col min="9" max="9" width="9.140625" style="1"/>
    <col min="10" max="10" width="9.42578125" style="1" bestFit="1" customWidth="1"/>
    <col min="11" max="11" width="9.140625" style="5"/>
    <col min="12" max="12" width="9.42578125" style="5" bestFit="1" customWidth="1"/>
    <col min="13" max="13" width="9.42578125" style="26" customWidth="1"/>
    <col min="14" max="15" width="9.42578125" style="27" customWidth="1"/>
    <col min="16" max="23" width="9.42578125" style="5" customWidth="1"/>
    <col min="24" max="27" width="9.42578125" style="22" customWidth="1"/>
    <col min="28" max="28" width="9.140625" style="1"/>
    <col min="29" max="32" width="9.140625" style="5"/>
    <col min="33" max="33" width="9.140625" style="1"/>
    <col min="34" max="39" width="9.140625" style="18"/>
    <col min="40" max="40" width="9.140625" style="1"/>
    <col min="41" max="42" width="9.140625" style="5"/>
    <col min="43" max="43" width="21" style="5" bestFit="1" customWidth="1"/>
    <col min="44" max="44" width="9.140625" style="1"/>
    <col min="45" max="45" width="17.42578125" style="5" bestFit="1" customWidth="1"/>
    <col min="46" max="46" width="30" style="1" bestFit="1" customWidth="1"/>
    <col min="47" max="16384" width="9.140625" style="1"/>
  </cols>
  <sheetData>
    <row r="1" spans="1:46" ht="15" customHeight="1" x14ac:dyDescent="0.2">
      <c r="F1" s="38" t="s">
        <v>29</v>
      </c>
      <c r="G1" s="38"/>
      <c r="H1" s="38"/>
      <c r="I1" s="38"/>
      <c r="J1" s="38"/>
      <c r="W1" s="38" t="s">
        <v>105</v>
      </c>
      <c r="X1" s="38"/>
      <c r="Y1" s="38"/>
      <c r="Z1" s="38"/>
      <c r="AA1" s="38"/>
      <c r="AB1" s="5"/>
    </row>
    <row r="2" spans="1:46" s="2" customFormat="1" x14ac:dyDescent="0.2">
      <c r="A2" s="1"/>
      <c r="B2" s="2" t="s">
        <v>0</v>
      </c>
      <c r="C2" s="4" t="s">
        <v>1</v>
      </c>
      <c r="D2" s="4" t="s">
        <v>3</v>
      </c>
      <c r="E2" s="4" t="s">
        <v>2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4" t="s">
        <v>22</v>
      </c>
      <c r="L2" s="4" t="s">
        <v>23</v>
      </c>
      <c r="M2" s="28" t="s">
        <v>140</v>
      </c>
      <c r="N2" s="29" t="s">
        <v>141</v>
      </c>
      <c r="O2" s="29" t="s">
        <v>143</v>
      </c>
      <c r="P2" s="4"/>
      <c r="Q2" s="4" t="s">
        <v>95</v>
      </c>
      <c r="R2" s="4" t="s">
        <v>96</v>
      </c>
      <c r="S2" s="4" t="s">
        <v>97</v>
      </c>
      <c r="T2" s="4" t="s">
        <v>98</v>
      </c>
      <c r="U2" s="4" t="s">
        <v>99</v>
      </c>
      <c r="V2" s="4"/>
      <c r="W2" s="4" t="s">
        <v>104</v>
      </c>
      <c r="X2" s="4" t="s">
        <v>100</v>
      </c>
      <c r="Y2" s="4" t="s">
        <v>101</v>
      </c>
      <c r="Z2" s="4" t="s">
        <v>102</v>
      </c>
      <c r="AA2" s="4" t="s">
        <v>103</v>
      </c>
      <c r="AB2" s="3"/>
      <c r="AC2" s="4" t="s">
        <v>18</v>
      </c>
      <c r="AD2" s="4" t="s">
        <v>19</v>
      </c>
      <c r="AE2" s="4" t="s">
        <v>20</v>
      </c>
      <c r="AF2" s="4" t="s">
        <v>21</v>
      </c>
      <c r="AH2" s="32" t="s">
        <v>144</v>
      </c>
      <c r="AI2" s="32" t="s">
        <v>145</v>
      </c>
      <c r="AJ2" s="32" t="s">
        <v>146</v>
      </c>
      <c r="AK2" s="32" t="s">
        <v>147</v>
      </c>
      <c r="AL2" s="32" t="s">
        <v>148</v>
      </c>
      <c r="AM2" s="32" t="s">
        <v>149</v>
      </c>
      <c r="AO2" s="4" t="s">
        <v>12</v>
      </c>
      <c r="AP2" s="4" t="s">
        <v>10</v>
      </c>
      <c r="AQ2" s="4" t="s">
        <v>11</v>
      </c>
      <c r="AS2" s="4" t="s">
        <v>38</v>
      </c>
      <c r="AT2" s="4" t="s">
        <v>40</v>
      </c>
    </row>
    <row r="3" spans="1:46" x14ac:dyDescent="0.2">
      <c r="F3" s="16"/>
      <c r="I3" s="17"/>
      <c r="J3" s="17"/>
      <c r="W3" s="23"/>
      <c r="X3" s="23"/>
      <c r="Y3" s="23"/>
      <c r="Z3" s="23"/>
      <c r="AA3" s="23"/>
      <c r="AT3" s="5"/>
    </row>
    <row r="4" spans="1:46" x14ac:dyDescent="0.2">
      <c r="B4" s="7" t="s">
        <v>32</v>
      </c>
      <c r="C4" s="6" t="s">
        <v>37</v>
      </c>
      <c r="D4" s="5" t="s">
        <v>33</v>
      </c>
      <c r="E4" s="5" t="s">
        <v>17</v>
      </c>
      <c r="F4" s="16">
        <f>[1]Main!$C$6*F57</f>
        <v>159.1525</v>
      </c>
      <c r="G4" s="19">
        <f>[1]Main!$C$7</f>
        <v>68.916813000000005</v>
      </c>
      <c r="H4" s="17">
        <f>[1]Main!$C$8*F57</f>
        <v>10968.283080982501</v>
      </c>
      <c r="I4" s="17">
        <f>[1]Main!$C$11*F57</f>
        <v>538.24670000000003</v>
      </c>
      <c r="J4" s="17">
        <f>[1]Main!$C$12*F57</f>
        <v>10430.036380982501</v>
      </c>
      <c r="K4" s="5" t="str">
        <f>[1]Main!$C$28</f>
        <v>FQ323</v>
      </c>
      <c r="L4" s="8">
        <f>[1]Main!$D$28</f>
        <v>44901</v>
      </c>
      <c r="M4" s="26">
        <f>'[1]Financial Model'!$AU$27*F57</f>
        <v>147.7711171735871</v>
      </c>
      <c r="N4" s="31">
        <f>'[1]Financial Model'!$AU$29</f>
        <v>-7.1512435094722937E-2</v>
      </c>
      <c r="O4" s="31">
        <f>'[1]Financial Model'!$AU$23</f>
        <v>0.08</v>
      </c>
      <c r="P4" s="8"/>
      <c r="Q4" s="21">
        <f>[1]Main!$C$33</f>
        <v>19.311919490429393</v>
      </c>
      <c r="R4" s="21">
        <f>[1]Main!$C$34</f>
        <v>11.112137929461445</v>
      </c>
      <c r="S4" s="8"/>
      <c r="T4" s="8"/>
      <c r="U4" s="8"/>
      <c r="V4" s="8"/>
      <c r="W4" s="23"/>
      <c r="X4" s="23">
        <f>'[1]Financial Model'!$AH$21*F57</f>
        <v>-254.69877999999997</v>
      </c>
      <c r="Y4" s="23">
        <f>'[1]Financial Model'!$AG$15*F57</f>
        <v>-173.72231999999997</v>
      </c>
      <c r="Z4" s="23"/>
      <c r="AA4" s="23"/>
      <c r="AC4" s="18">
        <f>'[1]Financial Model'!$X$29</f>
        <v>0.70928999538958049</v>
      </c>
      <c r="AD4" s="18">
        <f>'[1]Financial Model'!$X$30</f>
        <v>-0.37819600869393383</v>
      </c>
      <c r="AE4" s="18">
        <f>'[1]Financial Model'!$X$31</f>
        <v>-0.39144108542448774</v>
      </c>
      <c r="AF4" s="18">
        <f>'[1]Financial Model'!$X$32</f>
        <v>-2.6326241624645998E-2</v>
      </c>
      <c r="AH4" s="18">
        <f>'[1]Financial Model'!$Y$26</f>
        <v>0.47038912615197459</v>
      </c>
      <c r="AJ4" s="18">
        <f>'[1]Financial Model'!$AH$26</f>
        <v>0.48003319895660423</v>
      </c>
      <c r="AO4" s="5">
        <f>[1]Main!$C24</f>
        <v>2007</v>
      </c>
      <c r="AP4" s="5">
        <f>[1]Main!$C$25</f>
        <v>2017</v>
      </c>
      <c r="AQ4" s="5" t="str">
        <f>[1]Main!$C$23</f>
        <v>New York City, NY</v>
      </c>
      <c r="AS4" s="5" t="s">
        <v>47</v>
      </c>
      <c r="AT4" s="5" t="s">
        <v>39</v>
      </c>
    </row>
    <row r="5" spans="1:46" x14ac:dyDescent="0.2">
      <c r="B5" s="7" t="s">
        <v>80</v>
      </c>
      <c r="C5" s="6" t="s">
        <v>81</v>
      </c>
      <c r="D5" s="5" t="s">
        <v>30</v>
      </c>
      <c r="E5" s="5" t="s">
        <v>17</v>
      </c>
      <c r="F5" s="16">
        <f>[2]Main!$C$6*F57</f>
        <v>3.3365999999999993</v>
      </c>
      <c r="G5" s="17">
        <f>[2]Main!$C$7</f>
        <v>58.801357000000003</v>
      </c>
      <c r="H5" s="17">
        <f>[2]Main!$C$8*F57</f>
        <v>196.19660776619997</v>
      </c>
      <c r="I5" s="17">
        <f>[2]Main!$C$11*F57</f>
        <v>13.289129999999998</v>
      </c>
      <c r="J5" s="17">
        <f>[2]Main!$C$12*F57</f>
        <v>182.90747776619997</v>
      </c>
      <c r="K5" s="5" t="str">
        <f>[2]Main!$C$28</f>
        <v>Q322</v>
      </c>
      <c r="L5" s="8">
        <f>[2]Main!$D$28</f>
        <v>42705</v>
      </c>
      <c r="N5" s="30"/>
      <c r="O5" s="30"/>
      <c r="P5" s="8"/>
      <c r="Q5" s="21">
        <f>[2]Main!$C$34</f>
        <v>26.782399177430296</v>
      </c>
      <c r="R5" s="21"/>
      <c r="S5" s="21"/>
      <c r="T5" s="21"/>
      <c r="U5" s="21"/>
      <c r="V5" s="8"/>
      <c r="W5" s="23"/>
      <c r="X5" s="23"/>
      <c r="Y5" s="23"/>
      <c r="Z5" s="23"/>
      <c r="AA5" s="23"/>
      <c r="AC5" s="18">
        <f>'[2]Financial Model'!$J$28</f>
        <v>0.68957308000457829</v>
      </c>
      <c r="AD5" s="18">
        <f>'[2]Financial Model'!$J$29</f>
        <v>-1.1077257639922169</v>
      </c>
      <c r="AE5" s="18">
        <f>'[2]Financial Model'!$J$30</f>
        <v>-1.1136774636602953</v>
      </c>
      <c r="AF5" s="18">
        <f>'[2]Financial Model'!$J$31</f>
        <v>-1.6676961087090797E-3</v>
      </c>
      <c r="AH5" s="18">
        <f>'[2]Financial Model'!$J$25</f>
        <v>0.21252241299870667</v>
      </c>
      <c r="AO5" s="5">
        <f>[2]Main!$C$24</f>
        <v>2010</v>
      </c>
      <c r="AP5" s="5">
        <f>[2]Main!$C$25</f>
        <v>2022</v>
      </c>
      <c r="AQ5" s="5" t="str">
        <f>[2]Main!$C$23</f>
        <v>Redwood City, CA</v>
      </c>
      <c r="AS5" s="5" t="s">
        <v>47</v>
      </c>
      <c r="AT5" s="5" t="s">
        <v>39</v>
      </c>
    </row>
    <row r="6" spans="1:46" x14ac:dyDescent="0.2">
      <c r="F6" s="16"/>
      <c r="I6" s="17"/>
      <c r="J6" s="17"/>
      <c r="R6" s="21"/>
      <c r="S6" s="21"/>
      <c r="T6" s="21"/>
      <c r="U6" s="21"/>
      <c r="W6" s="23"/>
      <c r="X6" s="23"/>
      <c r="Y6" s="23"/>
      <c r="Z6" s="23"/>
      <c r="AA6" s="23"/>
      <c r="AT6" s="5"/>
    </row>
    <row r="7" spans="1:46" x14ac:dyDescent="0.2">
      <c r="B7" s="7" t="s">
        <v>14</v>
      </c>
      <c r="C7" s="6" t="s">
        <v>24</v>
      </c>
      <c r="D7" s="5" t="s">
        <v>30</v>
      </c>
      <c r="E7" s="5" t="s">
        <v>17</v>
      </c>
      <c r="F7" s="16">
        <f>[3]Main!$C$6*$F$57</f>
        <v>61.834999999999994</v>
      </c>
      <c r="G7" s="17">
        <f>[3]Main!$C$7</f>
        <v>185.12070199999999</v>
      </c>
      <c r="H7" s="17">
        <f>[3]Main!$C$8*$F$57</f>
        <v>11446.938608169999</v>
      </c>
      <c r="I7" s="17">
        <f>[3]Main!$C$11*F57</f>
        <v>2611.5095099999994</v>
      </c>
      <c r="J7" s="17">
        <f>[3]Main!$C$12*F57</f>
        <v>8835.4290981699996</v>
      </c>
      <c r="K7" s="5" t="str">
        <f>[3]Main!$C$28</f>
        <v>Q422</v>
      </c>
      <c r="L7" s="8">
        <f>[3]Main!$D$28</f>
        <v>42036</v>
      </c>
      <c r="M7" s="26">
        <f>'[3]Financial Model'!$AP$30*F57</f>
        <v>43.66027265181549</v>
      </c>
      <c r="N7" s="31">
        <f>'[3]Financial Model'!$AP$32</f>
        <v>-0.29392297805748369</v>
      </c>
      <c r="O7" s="31">
        <f>'[3]Financial Model'!$AP$26</f>
        <v>0.08</v>
      </c>
      <c r="P7" s="8"/>
      <c r="Q7" s="21">
        <f>[3]Main!$C$33</f>
        <v>1.3062048719295314</v>
      </c>
      <c r="R7" s="21">
        <f>[3]Main!$C$34</f>
        <v>3.6043740969458646</v>
      </c>
      <c r="S7" s="21">
        <f>[3]Main!$C$35</f>
        <v>2.7820706362586933</v>
      </c>
      <c r="T7" s="21">
        <f>[3]Main!$C$36</f>
        <v>-10.859651614989419</v>
      </c>
      <c r="U7" s="21">
        <f>[3]Main!$C$37</f>
        <v>-8.4744160100943784</v>
      </c>
      <c r="V7" s="8"/>
      <c r="W7" s="24">
        <f>'[3]Financial Model'!$AC$18*F57</f>
        <v>-1042.6003499999997</v>
      </c>
      <c r="X7" s="23">
        <f>'[3]Financial Model'!$AB$18*$F$57</f>
        <v>-788.41700000000003</v>
      </c>
      <c r="Y7" s="23">
        <f>'[3]Financial Model'!$AA$18*$F$57</f>
        <v>-407.51256999999981</v>
      </c>
      <c r="Z7" s="23">
        <f>'[3]Financial Model'!$Z$18*$F$57</f>
        <v>-254.86228999999994</v>
      </c>
      <c r="AA7" s="23">
        <f>'[3]Financial Model'!$Y$18*F57</f>
        <v>-101.21767</v>
      </c>
      <c r="AC7" s="18">
        <f>'[3]Financial Model'!$V$25</f>
        <v>0.47005177868427206</v>
      </c>
      <c r="AD7" s="18">
        <f>'[3]Financial Model'!V$26</f>
        <v>-0.2133247574113728</v>
      </c>
      <c r="AE7" s="18">
        <f>'[3]Financial Model'!$V$27</f>
        <v>-0.2239194045525261</v>
      </c>
      <c r="AF7" s="18">
        <f>'[3]Financial Model'!$V$28</f>
        <v>-0.01</v>
      </c>
      <c r="AH7" s="18">
        <f>'[3]Financial Model'!$V$22</f>
        <v>0.21575947144091212</v>
      </c>
      <c r="AI7" s="18">
        <f>'[3]Financial Model'!$AC$22</f>
        <v>0.34642426963666861</v>
      </c>
      <c r="AJ7" s="18">
        <f>'[3]Financial Model'!$AB$22</f>
        <v>0.613053532344634</v>
      </c>
      <c r="AK7" s="18">
        <f>'[3]Financial Model'!$AA$22</f>
        <v>0.55295345483521796</v>
      </c>
      <c r="AL7" s="18">
        <f>'[3]Financial Model'!$Z$22</f>
        <v>0.74515549935622039</v>
      </c>
      <c r="AO7" s="5">
        <f>[3]Main!$C$24</f>
        <v>2008</v>
      </c>
      <c r="AP7" s="5">
        <f>[3]Main!$C$25</f>
        <v>2016</v>
      </c>
      <c r="AQ7" s="5" t="str">
        <f>[3]Main!$C$23</f>
        <v>San Francisco, CA</v>
      </c>
      <c r="AS7" s="5" t="s">
        <v>47</v>
      </c>
      <c r="AT7" s="5" t="s">
        <v>43</v>
      </c>
    </row>
    <row r="8" spans="1:46" x14ac:dyDescent="0.2">
      <c r="B8" s="7"/>
      <c r="F8" s="16"/>
      <c r="G8" s="17"/>
      <c r="H8" s="17"/>
      <c r="I8" s="17"/>
      <c r="J8" s="17"/>
      <c r="L8" s="8"/>
      <c r="N8" s="30"/>
      <c r="O8" s="30"/>
      <c r="P8" s="8"/>
      <c r="Q8" s="8"/>
      <c r="R8" s="21"/>
      <c r="S8" s="21"/>
      <c r="T8" s="21"/>
      <c r="U8" s="21"/>
      <c r="V8" s="8"/>
      <c r="W8" s="23"/>
      <c r="X8" s="23"/>
      <c r="Y8" s="23"/>
      <c r="Z8" s="23"/>
      <c r="AA8" s="23"/>
      <c r="AC8" s="18"/>
      <c r="AD8" s="18"/>
      <c r="AE8" s="18"/>
      <c r="AF8" s="18"/>
      <c r="AT8" s="5"/>
    </row>
    <row r="9" spans="1:46" x14ac:dyDescent="0.2">
      <c r="B9" s="1" t="s">
        <v>34</v>
      </c>
      <c r="C9" s="6" t="s">
        <v>35</v>
      </c>
      <c r="E9" s="5" t="s">
        <v>17</v>
      </c>
      <c r="R9" s="21"/>
      <c r="S9" s="21"/>
      <c r="T9" s="21"/>
      <c r="U9" s="21"/>
      <c r="W9" s="23"/>
      <c r="X9" s="23"/>
      <c r="Y9" s="23"/>
      <c r="Z9" s="23"/>
      <c r="AA9" s="23"/>
      <c r="AS9" s="5" t="s">
        <v>15</v>
      </c>
      <c r="AT9" s="5" t="s">
        <v>44</v>
      </c>
    </row>
    <row r="10" spans="1:46" x14ac:dyDescent="0.2">
      <c r="B10" s="1" t="s">
        <v>41</v>
      </c>
      <c r="C10" s="6" t="s">
        <v>42</v>
      </c>
      <c r="E10" s="5" t="s">
        <v>17</v>
      </c>
      <c r="W10" s="23"/>
      <c r="X10" s="23"/>
      <c r="Y10" s="23"/>
      <c r="Z10" s="23"/>
      <c r="AA10" s="23"/>
      <c r="AS10" s="5" t="s">
        <v>15</v>
      </c>
      <c r="AT10" s="5" t="s">
        <v>45</v>
      </c>
    </row>
    <row r="11" spans="1:46" x14ac:dyDescent="0.2">
      <c r="B11" s="7" t="s">
        <v>9</v>
      </c>
      <c r="C11" s="6" t="s">
        <v>36</v>
      </c>
      <c r="D11" s="5" t="s">
        <v>31</v>
      </c>
      <c r="E11" s="5" t="s">
        <v>16</v>
      </c>
      <c r="F11" s="16">
        <f>[4]Main!$C$6</f>
        <v>7.4459999999999997</v>
      </c>
      <c r="G11" s="17">
        <f>[4]Main!$C$7</f>
        <v>1020</v>
      </c>
      <c r="H11" s="17">
        <f>[4]Main!$C$8</f>
        <v>7594.92</v>
      </c>
      <c r="I11" s="17">
        <f>[4]Main!$C$11</f>
        <v>-729</v>
      </c>
      <c r="J11" s="17">
        <f>[4]Main!$C$12</f>
        <v>8323.92</v>
      </c>
      <c r="K11" s="5" t="str">
        <f>[4]Main!$C$27</f>
        <v>FY22</v>
      </c>
      <c r="L11" s="20">
        <f>[4]Main!$D$27</f>
        <v>44881</v>
      </c>
      <c r="M11" s="26">
        <f>'[4]Financial Model'!$AH$22</f>
        <v>6.3308923646501336</v>
      </c>
      <c r="N11" s="31">
        <f>'[4]Financial Model'!$AH$24</f>
        <v>-0.14975928489791379</v>
      </c>
      <c r="O11" s="31">
        <f>'[4]Financial Model'!$AH$18</f>
        <v>0.06</v>
      </c>
      <c r="P11" s="20"/>
      <c r="Q11" s="21">
        <f>[4]Main!$C$34</f>
        <v>5.5155555555555553</v>
      </c>
      <c r="R11" s="21">
        <f>[4]Main!$C$33</f>
        <v>3.9008320493066257</v>
      </c>
      <c r="S11" s="21">
        <f>[4]Main!$C$35</f>
        <v>4.2752542372881353</v>
      </c>
      <c r="T11" s="21">
        <f>[4]Main!$C$32</f>
        <v>29.901259842519682</v>
      </c>
      <c r="U11" s="21">
        <f>[4]Main!$C$36</f>
        <v>32.771338582677167</v>
      </c>
      <c r="V11" s="20"/>
      <c r="W11" s="23">
        <f>'[4]Financial Model'!$V$13</f>
        <v>254</v>
      </c>
      <c r="X11" s="23">
        <f>'[4]Financial Model'!$U$13</f>
        <v>285</v>
      </c>
      <c r="Y11" s="23">
        <f>'[4]Financial Model'!$T$13</f>
        <v>310</v>
      </c>
      <c r="Z11" s="23">
        <f>'[4]Financial Model'!$S$13</f>
        <v>266</v>
      </c>
      <c r="AA11" s="23">
        <f>'[4]Financial Model'!$R$13</f>
        <v>295</v>
      </c>
      <c r="AC11" s="18">
        <f>'[4]Financial Model'!$V$17</f>
        <v>0.92912172573189522</v>
      </c>
      <c r="AD11" s="18">
        <f>'[4]Financial Model'!$V$18</f>
        <v>0.18849512069851052</v>
      </c>
      <c r="AE11" s="18">
        <f>'[4]Financial Model'!$V$19</f>
        <v>0.13045711350796096</v>
      </c>
      <c r="AF11" s="18">
        <f>'[4]Financial Model'!$V$20</f>
        <v>0.24629080118694363</v>
      </c>
      <c r="AH11" s="18">
        <f>'[4]Financial Model'!$J$22</f>
        <v>0.11441144114411439</v>
      </c>
      <c r="AI11" s="18">
        <f>'[4]Financial Model'!$V$22</f>
        <v>5.4712892741061836E-2</v>
      </c>
      <c r="AJ11" s="18">
        <f>'[4]Financial Model'!$U$22</f>
        <v>-2.9952706253284278E-2</v>
      </c>
      <c r="AK11" s="18">
        <f>'[4]Financial Model'!$T$22</f>
        <v>-1.7045454545454586E-2</v>
      </c>
      <c r="AL11" s="18">
        <f>'[4]Financial Model'!$S$22</f>
        <v>4.8754062838569867E-2</v>
      </c>
      <c r="AO11" s="5">
        <f>[4]Main!$C$24</f>
        <v>1981</v>
      </c>
      <c r="AP11" s="5">
        <f>[4]Main!$C$25</f>
        <v>1989</v>
      </c>
      <c r="AQ11" s="5" t="str">
        <f>[4]Main!$C$23</f>
        <v>Newcastle, UK</v>
      </c>
      <c r="AS11" s="5" t="s">
        <v>15</v>
      </c>
      <c r="AT11" s="5" t="s">
        <v>46</v>
      </c>
    </row>
    <row r="12" spans="1:46" x14ac:dyDescent="0.2">
      <c r="B12" s="7"/>
      <c r="F12" s="16"/>
      <c r="W12" s="22"/>
      <c r="AT12" s="5"/>
    </row>
    <row r="13" spans="1:46" x14ac:dyDescent="0.2">
      <c r="B13" s="1" t="s">
        <v>76</v>
      </c>
      <c r="C13" s="6" t="s">
        <v>77</v>
      </c>
      <c r="D13" s="5" t="s">
        <v>33</v>
      </c>
      <c r="E13" s="5" t="s">
        <v>17</v>
      </c>
      <c r="W13" s="22"/>
      <c r="AO13" s="5">
        <v>2002</v>
      </c>
      <c r="AP13" s="5">
        <v>2015</v>
      </c>
      <c r="AQ13" s="5" t="str">
        <f>[3]Main!$C$23</f>
        <v>San Francisco, CA</v>
      </c>
      <c r="AS13" s="5" t="s">
        <v>78</v>
      </c>
      <c r="AT13" s="5" t="s">
        <v>79</v>
      </c>
    </row>
    <row r="14" spans="1:46" x14ac:dyDescent="0.2">
      <c r="W14" s="22"/>
    </row>
    <row r="15" spans="1:46" x14ac:dyDescent="0.2">
      <c r="B15" s="1" t="s">
        <v>48</v>
      </c>
      <c r="C15" s="6" t="s">
        <v>49</v>
      </c>
      <c r="D15" s="5" t="s">
        <v>30</v>
      </c>
      <c r="E15" s="5" t="s">
        <v>17</v>
      </c>
      <c r="W15" s="22"/>
      <c r="AS15" s="5" t="s">
        <v>50</v>
      </c>
      <c r="AT15" s="5" t="s">
        <v>51</v>
      </c>
    </row>
    <row r="16" spans="1:46" x14ac:dyDescent="0.2">
      <c r="B16" s="1" t="s">
        <v>63</v>
      </c>
      <c r="C16" s="6" t="s">
        <v>64</v>
      </c>
      <c r="D16" s="5" t="s">
        <v>33</v>
      </c>
      <c r="E16" s="5" t="s">
        <v>17</v>
      </c>
      <c r="W16" s="22"/>
      <c r="AS16" s="5" t="s">
        <v>50</v>
      </c>
      <c r="AT16" s="5" t="s">
        <v>65</v>
      </c>
    </row>
    <row r="17" spans="2:46" x14ac:dyDescent="0.2">
      <c r="W17" s="22"/>
    </row>
    <row r="18" spans="2:46" x14ac:dyDescent="0.2">
      <c r="W18" s="22"/>
    </row>
    <row r="19" spans="2:46" x14ac:dyDescent="0.2">
      <c r="B19" s="7" t="s">
        <v>57</v>
      </c>
      <c r="C19" s="6" t="s">
        <v>59</v>
      </c>
      <c r="D19" s="5" t="s">
        <v>30</v>
      </c>
      <c r="E19" s="5" t="s">
        <v>17</v>
      </c>
      <c r="F19" s="17">
        <f>[5]Main!$C$6*F57</f>
        <v>34.411799999999999</v>
      </c>
      <c r="G19" s="17">
        <f>[5]Main!$C$7</f>
        <v>601.85900000000004</v>
      </c>
      <c r="H19" s="17">
        <f>[5]Main!$C$8*F57</f>
        <v>20711.051536200001</v>
      </c>
      <c r="I19" s="17">
        <f>[5]Main!$C$11*F57</f>
        <v>1650.4467000000002</v>
      </c>
      <c r="J19" s="17">
        <f>[5]Main!$C$12*F57</f>
        <v>19060.6048362</v>
      </c>
      <c r="K19" s="5" t="str">
        <f>[5]Main!$G$11</f>
        <v>Q422</v>
      </c>
      <c r="L19" s="8">
        <f>[5]Main!$H$11</f>
        <v>42036</v>
      </c>
      <c r="M19" s="26">
        <f>'[5]Financial Model'!$AP$26*F57</f>
        <v>53.212685119585799</v>
      </c>
      <c r="N19" s="31">
        <f>'[5]Financial Model'!$AP$28</f>
        <v>0.54634994738972664</v>
      </c>
      <c r="O19" s="31">
        <f>'[5]Financial Model'!$AP$22</f>
        <v>0.09</v>
      </c>
      <c r="Q19" s="21">
        <f>[5]Main!$G$16</f>
        <v>81.803970495189361</v>
      </c>
      <c r="R19" s="21">
        <f>[5]Main!$G$17</f>
        <v>11.214602687937182</v>
      </c>
      <c r="S19" s="21">
        <f>[5]Main!$G$19</f>
        <v>10.32092020321323</v>
      </c>
      <c r="T19" s="21">
        <f>[5]Main!$G$18</f>
        <v>-26.466723449006508</v>
      </c>
      <c r="W19" s="23">
        <f>'[5]Financial Model'!$X$18*F57</f>
        <v>-775.78689000000008</v>
      </c>
      <c r="X19" s="24">
        <f>'[5]Financial Model'!$W$18*F57</f>
        <v>-417.89669999999995</v>
      </c>
      <c r="Y19" s="24">
        <f>'[5]Financial Model'!$V$18*F57</f>
        <v>-216.47727999999992</v>
      </c>
      <c r="Z19" s="22" t="s">
        <v>139</v>
      </c>
      <c r="AA19" s="22" t="s">
        <v>139</v>
      </c>
      <c r="AC19" s="18">
        <f>'[5]Financial Model'!$N$22</f>
        <v>0.75400515367769483</v>
      </c>
      <c r="AD19" s="18">
        <f>'[5]Financial Model'!$N$23</f>
        <v>-0.52141090562414072</v>
      </c>
      <c r="AE19" s="18">
        <f>'[5]Financial Model'!$N$24</f>
        <v>-0.50342484680589428</v>
      </c>
      <c r="AF19" s="18">
        <f>'[5]Financial Model'!$N$25</f>
        <v>-1.1107141246622243E-2</v>
      </c>
      <c r="AH19" s="18">
        <f>'[5]Financial Model'!$N$28</f>
        <v>1.7995003243847618E-2</v>
      </c>
      <c r="AI19" s="18">
        <f>'[5]Financial Model'!$X$28</f>
        <v>0.15937579623808262</v>
      </c>
      <c r="AJ19" s="18">
        <f>'[5]Financial Model'!$W$28</f>
        <v>1.0772942519902369</v>
      </c>
      <c r="AO19" s="5">
        <f>[5]Main!$G$8</f>
        <v>2004</v>
      </c>
      <c r="AP19" s="5">
        <f>[5]Main!$G$7</f>
        <v>2021</v>
      </c>
      <c r="AQ19" s="5" t="str">
        <f>[5]Main!$G$6</f>
        <v>San Mateo, CA</v>
      </c>
      <c r="AS19" s="5" t="s">
        <v>60</v>
      </c>
      <c r="AT19" s="5" t="s">
        <v>62</v>
      </c>
    </row>
    <row r="20" spans="2:46" x14ac:dyDescent="0.2">
      <c r="B20" s="7" t="s">
        <v>56</v>
      </c>
      <c r="C20" s="6" t="s">
        <v>58</v>
      </c>
      <c r="D20" s="5" t="s">
        <v>30</v>
      </c>
      <c r="E20" s="5" t="s">
        <v>17</v>
      </c>
      <c r="F20" s="17">
        <f>[6]Main!$C$6*F57</f>
        <v>27.7469</v>
      </c>
      <c r="G20" s="17">
        <f>[6]Main!$C$7</f>
        <v>296.01300300000003</v>
      </c>
      <c r="H20" s="17">
        <f>[6]Main!$C$8*F57</f>
        <v>8213.4431929407001</v>
      </c>
      <c r="I20" s="19">
        <f>[6]Main!$C$11*F57</f>
        <v>-436.42229999999995</v>
      </c>
      <c r="J20" s="17">
        <f>[6]Main!$C$12*F57</f>
        <v>8649.8654929407003</v>
      </c>
      <c r="K20" s="25" t="str">
        <f>[6]Main!$C$26</f>
        <v>Q122</v>
      </c>
      <c r="L20" s="25">
        <f>[6]Main!$D$26</f>
        <v>0</v>
      </c>
      <c r="W20" s="22"/>
      <c r="AS20" s="5" t="s">
        <v>60</v>
      </c>
      <c r="AT20" s="5" t="s">
        <v>61</v>
      </c>
    </row>
    <row r="21" spans="2:46" x14ac:dyDescent="0.2">
      <c r="W21" s="22"/>
    </row>
    <row r="22" spans="2:46" x14ac:dyDescent="0.2">
      <c r="B22" s="7" t="s">
        <v>87</v>
      </c>
      <c r="C22" s="6" t="s">
        <v>88</v>
      </c>
      <c r="D22" s="5" t="s">
        <v>30</v>
      </c>
      <c r="E22" s="5" t="s">
        <v>17</v>
      </c>
      <c r="F22" s="16">
        <f>[7]Main!$C$6*$F$57</f>
        <v>40.006</v>
      </c>
      <c r="G22" s="17">
        <f>[7]Main!$C$7</f>
        <v>1273.338804</v>
      </c>
      <c r="H22" s="17">
        <f>[7]Main!$C$8*F57</f>
        <v>50941.192192823997</v>
      </c>
      <c r="I22" s="17">
        <f>[7]Main!$C$11*F57</f>
        <v>3435.8995399999999</v>
      </c>
      <c r="J22" s="17">
        <f>[7]Main!$C$12*F57</f>
        <v>47505.292652823999</v>
      </c>
      <c r="K22" s="5" t="str">
        <f>[7]Main!$C$28</f>
        <v>Q422</v>
      </c>
      <c r="L22" s="8">
        <f>[7]Main!$D$28</f>
        <v>42036</v>
      </c>
      <c r="M22" s="26">
        <f>'[7]Financial Model'!$AP$28</f>
        <v>27.310648363768447</v>
      </c>
      <c r="N22" s="31">
        <f>'[7]Financial Model'!$AP$30</f>
        <v>-0.43338903809609031</v>
      </c>
      <c r="O22" s="31">
        <f>'[7]Financial Model'!$AP$24</f>
        <v>7.0000000000000007E-2</v>
      </c>
      <c r="Q22" s="21">
        <f>[7]Main!$C$33</f>
        <v>7.4494182835574083</v>
      </c>
      <c r="R22" s="21">
        <f>[7]Main!$C$34</f>
        <v>10.960075164825431</v>
      </c>
      <c r="S22" s="21">
        <f>[7]Main!$C$35</f>
        <v>10.220836140449125</v>
      </c>
      <c r="T22" s="21">
        <f>[7]Main!$C$36</f>
        <v>-3.6325285629149069</v>
      </c>
      <c r="U22" s="21">
        <f>[7]Main!$C$37</f>
        <v>-16.539993825254641</v>
      </c>
      <c r="W22" s="24">
        <f>'[7]Financial Model'!$AC$20*F57</f>
        <v>-2872.1469399999992</v>
      </c>
      <c r="X22" s="24">
        <f>'[7]Financial Model'!$AB$20*F57</f>
        <v>2419.1669699999998</v>
      </c>
      <c r="AC22" s="18">
        <f>'[7]Financial Model'!$V$29</f>
        <v>0.46024099441030381</v>
      </c>
      <c r="AD22" s="18">
        <f>'[7]Financial Model'!$V$32</f>
        <v>-0.10879042846652805</v>
      </c>
      <c r="AE22" s="18">
        <f>'[7]Financial Model'!$V$33</f>
        <v>-0.35948236807613693</v>
      </c>
      <c r="AF22" s="18">
        <f>'[7]Financial Model'!$V$34</f>
        <v>-1.4783406659203918E-2</v>
      </c>
      <c r="AH22" s="18">
        <f>'[7]Financial Model'!$V$24</f>
        <v>0.25720857028573407</v>
      </c>
      <c r="AI22" s="18">
        <f>'[7]Financial Model'!$AC$24</f>
        <v>0.21423218764853047</v>
      </c>
      <c r="AJ22" s="18">
        <f>'[7]Financial Model'!$AB$24</f>
        <v>0.57428577182862139</v>
      </c>
      <c r="AO22" s="5">
        <f>[7]Main!$C$24</f>
        <v>2004</v>
      </c>
      <c r="AP22" s="5">
        <f>[7]Main!$C$25</f>
        <v>2015</v>
      </c>
      <c r="AQ22" s="5" t="str">
        <f>[7]Main!$C$23</f>
        <v>Ottowa, Canada</v>
      </c>
      <c r="AS22" s="5" t="s">
        <v>84</v>
      </c>
      <c r="AT22" s="5" t="s">
        <v>142</v>
      </c>
    </row>
    <row r="23" spans="2:46" x14ac:dyDescent="0.2">
      <c r="B23" s="7" t="s">
        <v>82</v>
      </c>
      <c r="C23" s="6" t="s">
        <v>85</v>
      </c>
      <c r="D23" s="5" t="s">
        <v>33</v>
      </c>
      <c r="E23" s="5" t="s">
        <v>17</v>
      </c>
      <c r="F23" s="16">
        <f>[8]Main!$C$6*F57</f>
        <v>41.085000000000001</v>
      </c>
      <c r="G23" s="19">
        <f>[8]Main!$C$7</f>
        <v>542.659087</v>
      </c>
      <c r="H23" s="17">
        <f>[8]Main!$C$8*F57</f>
        <v>22295.148589394998</v>
      </c>
      <c r="I23" s="17">
        <f>[8]Main!$C$11*F57</f>
        <v>-3515.0499999999997</v>
      </c>
      <c r="J23" s="17">
        <f>[8]Main!$C$12*F57</f>
        <v>25810.198589395</v>
      </c>
      <c r="K23" s="25" t="str">
        <f>[8]Main!$C$28</f>
        <v>Q322</v>
      </c>
      <c r="L23" s="35">
        <f>[8]Main!$D$28</f>
        <v>37561</v>
      </c>
      <c r="M23" s="26">
        <f>'[8]Financial Model'!$AW$29*$F$57</f>
        <v>47.543323554437464</v>
      </c>
      <c r="N23" s="31">
        <f>'[8]Financial Model'!$AW$31</f>
        <v>0.15719419628666098</v>
      </c>
      <c r="O23" s="31">
        <f>'[8]Financial Model'!$AW$25</f>
        <v>0.08</v>
      </c>
      <c r="P23" s="8"/>
      <c r="Q23" s="21">
        <f>[8]Main!$C$33</f>
        <v>5.5350555958170204</v>
      </c>
      <c r="R23" s="21">
        <f>[8]Main!$C$34</f>
        <v>2.7138436862497475</v>
      </c>
      <c r="S23" s="21">
        <f>[8]Main!$C$35</f>
        <v>3.1417079012426754</v>
      </c>
      <c r="T23" s="21">
        <f>[8]Main!$C$36</f>
        <v>-421.2402023888468</v>
      </c>
      <c r="U23" s="21">
        <f>[8]Main!$C$37</f>
        <v>1110.5937430892857</v>
      </c>
      <c r="V23" s="8"/>
      <c r="W23" s="34"/>
      <c r="X23" s="24">
        <f>'[8]Financial Model'!$AE$20*F57</f>
        <v>-1118.01</v>
      </c>
      <c r="Y23" s="24">
        <f>'[8]Financial Model'!$AD$20*F57</f>
        <v>6030.78</v>
      </c>
      <c r="Z23" s="24">
        <f>'[8]Financial Model'!$AC$20*F57</f>
        <v>1431.75</v>
      </c>
      <c r="AA23" s="24">
        <f>'[8]Financial Model'!$AC$20*G57</f>
        <v>2078.3132530120483</v>
      </c>
      <c r="AC23" s="18">
        <f>'[8]Financial Model'!$U$27</f>
        <v>0.72890843662534988</v>
      </c>
      <c r="AD23" s="18">
        <f>'[8]Financial Model'!$U$28</f>
        <v>0.2646941223510596</v>
      </c>
      <c r="AE23" s="18">
        <f>'[8]Financial Model'!$U$29</f>
        <v>0.10555777688924431</v>
      </c>
      <c r="AF23" s="18">
        <f>'[8]Financial Model'!$U$30</f>
        <v>0.34792626728110598</v>
      </c>
      <c r="AH23" s="18">
        <f>'[8]Financial Model'!$Y$24</f>
        <v>-4.8380647740903671E-2</v>
      </c>
      <c r="AJ23" s="18">
        <f>'[8]Financial Model'!$AI$24</f>
        <v>-2.7349948660505885E-2</v>
      </c>
      <c r="AK23" s="18">
        <f>'[8]Financial Model'!$AH$24</f>
        <v>0.17018022938285093</v>
      </c>
      <c r="AL23" s="18">
        <f>'[8]Financial Model'!$AG$24</f>
        <v>-0.14805509026614549</v>
      </c>
      <c r="AM23" s="18">
        <f>'[8]Financial Model'!$AF$24</f>
        <v>8.2502266545784186E-2</v>
      </c>
      <c r="AO23" s="5">
        <f>[8]Main!$C$24</f>
        <v>1995</v>
      </c>
      <c r="AP23" s="5">
        <f>[8]Main!$C$25</f>
        <v>1998</v>
      </c>
      <c r="AQ23" s="5" t="str">
        <f>[8]Main!$C$23</f>
        <v>San Jose, CA</v>
      </c>
      <c r="AS23" s="5" t="s">
        <v>84</v>
      </c>
      <c r="AT23" s="5" t="s">
        <v>86</v>
      </c>
    </row>
    <row r="24" spans="2:46" x14ac:dyDescent="0.2">
      <c r="B24" s="1" t="s">
        <v>83</v>
      </c>
      <c r="C24" s="6" t="s">
        <v>138</v>
      </c>
      <c r="D24" s="5" t="s">
        <v>33</v>
      </c>
      <c r="E24" s="5" t="s">
        <v>17</v>
      </c>
      <c r="W24" s="22"/>
      <c r="AS24" s="5" t="s">
        <v>84</v>
      </c>
      <c r="AT24" s="5" t="s">
        <v>118</v>
      </c>
    </row>
    <row r="25" spans="2:46" x14ac:dyDescent="0.2">
      <c r="B25" s="1" t="s">
        <v>89</v>
      </c>
      <c r="C25" s="6" t="s">
        <v>90</v>
      </c>
      <c r="D25" s="5" t="s">
        <v>33</v>
      </c>
      <c r="E25" s="5" t="s">
        <v>17</v>
      </c>
      <c r="W25" s="22"/>
      <c r="AS25" s="5" t="s">
        <v>84</v>
      </c>
      <c r="AT25" s="5"/>
    </row>
    <row r="26" spans="2:46" x14ac:dyDescent="0.2">
      <c r="B26" s="1" t="s">
        <v>91</v>
      </c>
      <c r="C26" s="6" t="s">
        <v>92</v>
      </c>
      <c r="D26" s="5" t="s">
        <v>30</v>
      </c>
      <c r="W26" s="22"/>
      <c r="AS26" s="5" t="s">
        <v>84</v>
      </c>
      <c r="AT26" s="5"/>
    </row>
    <row r="27" spans="2:46" x14ac:dyDescent="0.2">
      <c r="B27" s="1" t="s">
        <v>93</v>
      </c>
      <c r="C27" s="6" t="s">
        <v>94</v>
      </c>
      <c r="D27" s="5" t="s">
        <v>33</v>
      </c>
      <c r="W27" s="22"/>
      <c r="AT27" s="5"/>
    </row>
    <row r="28" spans="2:46" x14ac:dyDescent="0.2">
      <c r="W28" s="22"/>
    </row>
    <row r="29" spans="2:46" x14ac:dyDescent="0.2">
      <c r="W29" s="22"/>
    </row>
    <row r="30" spans="2:46" x14ac:dyDescent="0.2">
      <c r="B30" s="1" t="s">
        <v>66</v>
      </c>
      <c r="C30" s="6" t="s">
        <v>67</v>
      </c>
      <c r="D30" s="5" t="s">
        <v>31</v>
      </c>
      <c r="E30" s="5" t="s">
        <v>16</v>
      </c>
      <c r="W30" s="22"/>
      <c r="AS30" s="5" t="s">
        <v>70</v>
      </c>
    </row>
    <row r="31" spans="2:46" x14ac:dyDescent="0.2">
      <c r="B31" s="1" t="s">
        <v>68</v>
      </c>
      <c r="C31" s="6" t="s">
        <v>69</v>
      </c>
      <c r="D31" s="5" t="s">
        <v>33</v>
      </c>
      <c r="E31" s="5" t="s">
        <v>17</v>
      </c>
      <c r="W31" s="22"/>
      <c r="AS31" s="5" t="s">
        <v>70</v>
      </c>
    </row>
    <row r="32" spans="2:46" x14ac:dyDescent="0.2">
      <c r="W32" s="22"/>
    </row>
    <row r="33" spans="2:46" x14ac:dyDescent="0.2">
      <c r="W33" s="22"/>
    </row>
    <row r="34" spans="2:46" x14ac:dyDescent="0.2">
      <c r="B34" s="1" t="s">
        <v>106</v>
      </c>
      <c r="C34" s="6" t="s">
        <v>107</v>
      </c>
      <c r="D34" s="5" t="s">
        <v>30</v>
      </c>
      <c r="W34" s="22"/>
      <c r="AS34" s="5" t="s">
        <v>84</v>
      </c>
      <c r="AT34" s="5" t="s">
        <v>112</v>
      </c>
    </row>
    <row r="35" spans="2:46" x14ac:dyDescent="0.2">
      <c r="B35" s="1" t="s">
        <v>108</v>
      </c>
      <c r="C35" s="6" t="s">
        <v>109</v>
      </c>
      <c r="D35" s="5" t="s">
        <v>31</v>
      </c>
      <c r="E35" s="5" t="s">
        <v>16</v>
      </c>
      <c r="U35" s="5" t="s">
        <v>119</v>
      </c>
      <c r="W35" s="22"/>
      <c r="AS35" s="5" t="s">
        <v>84</v>
      </c>
      <c r="AT35" s="5" t="s">
        <v>112</v>
      </c>
    </row>
    <row r="36" spans="2:46" x14ac:dyDescent="0.2">
      <c r="B36" s="1" t="s">
        <v>110</v>
      </c>
      <c r="C36" s="6" t="s">
        <v>111</v>
      </c>
      <c r="D36" s="5" t="s">
        <v>30</v>
      </c>
      <c r="W36" s="22"/>
      <c r="AS36" s="5" t="s">
        <v>84</v>
      </c>
      <c r="AT36" s="5" t="s">
        <v>112</v>
      </c>
    </row>
    <row r="37" spans="2:46" x14ac:dyDescent="0.2">
      <c r="W37" s="22"/>
    </row>
    <row r="38" spans="2:46" x14ac:dyDescent="0.2">
      <c r="W38" s="22"/>
    </row>
    <row r="39" spans="2:46" x14ac:dyDescent="0.2">
      <c r="B39" s="1" t="s">
        <v>113</v>
      </c>
      <c r="C39" s="6" t="s">
        <v>114</v>
      </c>
      <c r="D39" s="5" t="s">
        <v>31</v>
      </c>
      <c r="E39" s="5" t="s">
        <v>16</v>
      </c>
      <c r="F39" s="1">
        <v>1.1599999999999999</v>
      </c>
      <c r="G39" s="19">
        <v>416.24</v>
      </c>
      <c r="H39" s="17">
        <f>G39*F39</f>
        <v>482.83839999999998</v>
      </c>
      <c r="W39" s="22"/>
      <c r="AO39" s="5">
        <v>2007</v>
      </c>
      <c r="AP39" s="5">
        <v>2021</v>
      </c>
      <c r="AQ39" s="5" t="s">
        <v>117</v>
      </c>
      <c r="AS39" s="5" t="s">
        <v>116</v>
      </c>
      <c r="AT39" s="5" t="s">
        <v>115</v>
      </c>
    </row>
    <row r="40" spans="2:46" x14ac:dyDescent="0.2">
      <c r="G40" s="19"/>
      <c r="H40" s="17"/>
      <c r="W40" s="22"/>
      <c r="AT40" s="5"/>
    </row>
    <row r="41" spans="2:46" x14ac:dyDescent="0.2">
      <c r="G41" s="19"/>
      <c r="H41" s="17"/>
      <c r="W41" s="22"/>
      <c r="AT41" s="5"/>
    </row>
    <row r="42" spans="2:46" x14ac:dyDescent="0.2">
      <c r="B42" s="1" t="s">
        <v>121</v>
      </c>
      <c r="C42" s="6" t="s">
        <v>123</v>
      </c>
      <c r="D42" s="5" t="s">
        <v>33</v>
      </c>
      <c r="E42" s="5" t="s">
        <v>17</v>
      </c>
      <c r="F42" s="16">
        <f>332.82*F57</f>
        <v>276.24059999999997</v>
      </c>
      <c r="G42" s="19">
        <v>445.02</v>
      </c>
      <c r="H42" s="17">
        <f>G42*F42</f>
        <v>122932.59181199998</v>
      </c>
      <c r="W42" s="22"/>
      <c r="AS42" s="5" t="s">
        <v>126</v>
      </c>
      <c r="AT42" s="5" t="s">
        <v>124</v>
      </c>
    </row>
    <row r="43" spans="2:46" x14ac:dyDescent="0.2">
      <c r="B43" s="1" t="s">
        <v>120</v>
      </c>
      <c r="C43" s="6" t="s">
        <v>122</v>
      </c>
      <c r="D43" s="5" t="s">
        <v>30</v>
      </c>
      <c r="E43" s="5" t="s">
        <v>17</v>
      </c>
      <c r="F43" s="16">
        <f>92.06*F57</f>
        <v>76.409800000000004</v>
      </c>
      <c r="G43" s="19">
        <v>193.13</v>
      </c>
      <c r="H43" s="17">
        <f>G43*F43</f>
        <v>14757.024674</v>
      </c>
      <c r="W43" s="22"/>
      <c r="AS43" s="5" t="s">
        <v>126</v>
      </c>
      <c r="AT43" s="5" t="s">
        <v>125</v>
      </c>
    </row>
    <row r="44" spans="2:46" x14ac:dyDescent="0.2">
      <c r="B44" s="1" t="s">
        <v>133</v>
      </c>
      <c r="C44" s="6" t="s">
        <v>134</v>
      </c>
      <c r="D44" s="5" t="s">
        <v>135</v>
      </c>
      <c r="E44" s="5" t="s">
        <v>16</v>
      </c>
      <c r="F44" s="16">
        <v>3.9950000000000001</v>
      </c>
      <c r="G44" s="19">
        <v>16.3</v>
      </c>
      <c r="H44" s="17">
        <f>G44*F44</f>
        <v>65.118500000000012</v>
      </c>
      <c r="W44" s="22"/>
      <c r="AS44" s="5" t="s">
        <v>136</v>
      </c>
      <c r="AT44" s="5" t="s">
        <v>137</v>
      </c>
    </row>
    <row r="45" spans="2:46" x14ac:dyDescent="0.2">
      <c r="G45" s="19"/>
      <c r="H45" s="17"/>
      <c r="W45" s="22"/>
      <c r="AT45" s="5"/>
    </row>
    <row r="46" spans="2:46" x14ac:dyDescent="0.2">
      <c r="B46" s="1" t="s">
        <v>130</v>
      </c>
      <c r="C46" s="6" t="s">
        <v>128</v>
      </c>
      <c r="G46" s="19"/>
      <c r="H46" s="17"/>
      <c r="W46" s="22"/>
      <c r="AT46" s="5"/>
    </row>
    <row r="47" spans="2:46" x14ac:dyDescent="0.2">
      <c r="B47" s="1" t="s">
        <v>131</v>
      </c>
      <c r="C47" s="6" t="s">
        <v>127</v>
      </c>
      <c r="G47" s="19"/>
      <c r="H47" s="17"/>
      <c r="W47" s="22"/>
      <c r="AT47" s="5"/>
    </row>
    <row r="48" spans="2:46" x14ac:dyDescent="0.2">
      <c r="B48" s="1" t="s">
        <v>132</v>
      </c>
      <c r="C48" s="6" t="s">
        <v>129</v>
      </c>
      <c r="G48" s="19"/>
      <c r="H48" s="17"/>
      <c r="W48" s="22"/>
      <c r="AT48" s="5"/>
    </row>
    <row r="49" spans="2:46" x14ac:dyDescent="0.2">
      <c r="G49" s="19"/>
      <c r="H49" s="17"/>
      <c r="W49" s="22"/>
      <c r="AT49" s="5"/>
    </row>
    <row r="50" spans="2:46" x14ac:dyDescent="0.2">
      <c r="G50" s="19"/>
      <c r="H50" s="17"/>
      <c r="W50" s="22"/>
      <c r="AT50" s="5"/>
    </row>
    <row r="51" spans="2:46" x14ac:dyDescent="0.2">
      <c r="B51" s="7" t="s">
        <v>150</v>
      </c>
      <c r="C51" s="6" t="s">
        <v>154</v>
      </c>
      <c r="D51" s="5" t="s">
        <v>33</v>
      </c>
      <c r="E51" s="5" t="s">
        <v>17</v>
      </c>
      <c r="F51" s="16">
        <f>[9]Main!$C$6*$F$57</f>
        <v>213.21039999999999</v>
      </c>
      <c r="G51" s="33">
        <f>[9]Main!$C$7</f>
        <v>7440</v>
      </c>
      <c r="H51" s="33">
        <f>[9]Main!$C$12*$F$57</f>
        <v>1586285.3759999999</v>
      </c>
      <c r="I51" s="33">
        <f>[9]Main!$C$11*$F$57</f>
        <v>0</v>
      </c>
      <c r="J51" s="33">
        <f>[9]Main!$C$12*$F$57</f>
        <v>1586285.3759999999</v>
      </c>
      <c r="K51" s="5">
        <f>[9]Main!$C$29</f>
        <v>0</v>
      </c>
      <c r="L51" s="5">
        <f>[9]Main!$D$29</f>
        <v>0</v>
      </c>
      <c r="W51" s="22"/>
      <c r="AO51" s="5">
        <f>[9]Main!$C$24</f>
        <v>1975</v>
      </c>
      <c r="AP51" s="5">
        <f>[9]Main!$C$25</f>
        <v>1986</v>
      </c>
      <c r="AQ51" s="5" t="str">
        <f>[9]Main!$C$23</f>
        <v>Redmond, WA</v>
      </c>
      <c r="AS51" s="5" t="s">
        <v>156</v>
      </c>
      <c r="AT51" s="5" t="s">
        <v>155</v>
      </c>
    </row>
    <row r="52" spans="2:46" x14ac:dyDescent="0.2">
      <c r="B52" s="7" t="s">
        <v>151</v>
      </c>
      <c r="C52" s="6" t="s">
        <v>160</v>
      </c>
      <c r="D52" s="5" t="s">
        <v>33</v>
      </c>
      <c r="E52" s="5" t="s">
        <v>17</v>
      </c>
      <c r="F52" s="16">
        <f>[10]Main!$C$6*$F$57</f>
        <v>79.231799999999993</v>
      </c>
      <c r="G52" s="33">
        <f>[10]Main!$C$7</f>
        <v>13523</v>
      </c>
      <c r="H52" s="33">
        <f>[10]Main!$C$8*$F$57</f>
        <v>1071451.6313999998</v>
      </c>
      <c r="I52" s="33">
        <f>[10]Main!$C$11*$F$57</f>
        <v>0</v>
      </c>
      <c r="J52" s="33">
        <f>[10]Main!$C$12*$F$57</f>
        <v>1071451.6313999998</v>
      </c>
      <c r="K52" s="5">
        <f>[10]Main!$C$28</f>
        <v>0</v>
      </c>
      <c r="L52" s="5">
        <f>[10]Main!$D$28</f>
        <v>0</v>
      </c>
      <c r="W52" s="22"/>
      <c r="AO52" s="5">
        <f>[10]Main!$C$24</f>
        <v>1998</v>
      </c>
      <c r="AP52" s="5">
        <f>[10]Main!$C$25</f>
        <v>2004</v>
      </c>
      <c r="AQ52" s="5" t="str">
        <f>[10]Main!$C$23</f>
        <v>Mountain View, CA</v>
      </c>
      <c r="AS52" s="5" t="s">
        <v>156</v>
      </c>
      <c r="AT52" s="5" t="s">
        <v>158</v>
      </c>
    </row>
    <row r="53" spans="2:46" x14ac:dyDescent="0.2">
      <c r="B53" s="1" t="s">
        <v>152</v>
      </c>
      <c r="E53" s="5" t="s">
        <v>17</v>
      </c>
      <c r="AS53" s="5" t="s">
        <v>116</v>
      </c>
      <c r="AT53" s="5" t="s">
        <v>157</v>
      </c>
    </row>
    <row r="54" spans="2:46" x14ac:dyDescent="0.2">
      <c r="B54" s="1" t="s">
        <v>153</v>
      </c>
      <c r="E54" s="5" t="s">
        <v>17</v>
      </c>
      <c r="AS54" s="5" t="s">
        <v>156</v>
      </c>
      <c r="AT54" s="5" t="s">
        <v>159</v>
      </c>
    </row>
    <row r="56" spans="2:46" x14ac:dyDescent="0.2">
      <c r="E56" s="36" t="s">
        <v>25</v>
      </c>
      <c r="F56" s="37"/>
      <c r="G56" s="9" t="s">
        <v>26</v>
      </c>
    </row>
    <row r="57" spans="2:46" x14ac:dyDescent="0.2">
      <c r="E57" s="10" t="s">
        <v>27</v>
      </c>
      <c r="F57" s="11">
        <v>0.83</v>
      </c>
      <c r="G57" s="12">
        <f>1/F57</f>
        <v>1.2048192771084338</v>
      </c>
    </row>
    <row r="58" spans="2:46" x14ac:dyDescent="0.2">
      <c r="E58" s="13" t="s">
        <v>28</v>
      </c>
      <c r="F58" s="14">
        <v>0.87</v>
      </c>
      <c r="G58" s="15">
        <f>1/F58</f>
        <v>1.1494252873563218</v>
      </c>
    </row>
  </sheetData>
  <mergeCells count="3">
    <mergeCell ref="E56:F56"/>
    <mergeCell ref="F1:J1"/>
    <mergeCell ref="W1:AA1"/>
  </mergeCells>
  <hyperlinks>
    <hyperlink ref="B7" r:id="rId1" xr:uid="{3A7AD427-356A-4438-8466-A299ED0C08D2}"/>
    <hyperlink ref="B11" r:id="rId2" xr:uid="{1CE3F47D-3D30-470A-966F-AA684282F9ED}"/>
    <hyperlink ref="B4" r:id="rId3" xr:uid="{6DFD8629-A4A2-4A11-B5F1-5FDD02B4DC40}"/>
    <hyperlink ref="B19" r:id="rId4" xr:uid="{2D896F8C-26D2-4CA9-8601-44232CD47DF4}"/>
    <hyperlink ref="B5" r:id="rId5" xr:uid="{3673F69E-DE49-452E-9A7F-9067CB704A93}"/>
    <hyperlink ref="B23" r:id="rId6" xr:uid="{21F4A07B-A91C-4255-B949-9908C8EAC551}"/>
    <hyperlink ref="B20" r:id="rId7" xr:uid="{B9C2E740-5539-4983-8CC4-F329408A4445}"/>
    <hyperlink ref="B22" r:id="rId8" xr:uid="{03436A82-476B-4BF2-A855-FEC5F745CF98}"/>
    <hyperlink ref="B51" r:id="rId9" xr:uid="{46DC7469-9CFC-4610-A22B-3D4E075DFC99}"/>
    <hyperlink ref="B52" r:id="rId10" xr:uid="{1F04985A-EB8E-4ED3-BC5F-B6E427A61566}"/>
  </hyperlinks>
  <pageMargins left="0.7" right="0.7" top="0.75" bottom="0.75" header="0.3" footer="0.3"/>
  <pageSetup paperSize="256" orientation="portrait" horizontalDpi="203" verticalDpi="203" r:id="rId11"/>
  <ignoredErrors>
    <ignoredError sqref="I5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1D97B-8BB0-4FE5-A0B0-49C57E74A2A8}">
  <dimension ref="A2:M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ColWidth="9.140625" defaultRowHeight="12.75" x14ac:dyDescent="0.2"/>
  <cols>
    <col min="1" max="1" width="4.140625" style="1" customWidth="1"/>
    <col min="2" max="2" width="9.140625" style="1"/>
    <col min="3" max="3" width="21" style="1" bestFit="1" customWidth="1"/>
    <col min="4" max="8" width="9.140625" style="1"/>
    <col min="9" max="9" width="11" style="1" bestFit="1" customWidth="1"/>
    <col min="10" max="10" width="16.28515625" style="1" bestFit="1" customWidth="1"/>
    <col min="11" max="11" width="37.28515625" style="1" bestFit="1" customWidth="1"/>
    <col min="12" max="12" width="11.42578125" style="5" bestFit="1" customWidth="1"/>
    <col min="13" max="13" width="11" style="5" bestFit="1" customWidth="1"/>
    <col min="14" max="16384" width="9.140625" style="1"/>
  </cols>
  <sheetData>
    <row r="2" spans="1:13" s="2" customFormat="1" x14ac:dyDescent="0.2">
      <c r="A2" s="1"/>
      <c r="B2" s="2" t="s">
        <v>0</v>
      </c>
      <c r="C2" s="4" t="s">
        <v>1</v>
      </c>
      <c r="E2" s="4" t="s">
        <v>12</v>
      </c>
      <c r="F2" s="4" t="s">
        <v>10</v>
      </c>
      <c r="G2" s="4" t="s">
        <v>11</v>
      </c>
      <c r="I2" s="4" t="s">
        <v>38</v>
      </c>
      <c r="J2" s="4" t="s">
        <v>40</v>
      </c>
      <c r="K2" s="4" t="s">
        <v>13</v>
      </c>
      <c r="L2" s="4" t="s">
        <v>73</v>
      </c>
      <c r="M2" s="4" t="s">
        <v>72</v>
      </c>
    </row>
    <row r="4" spans="1:13" x14ac:dyDescent="0.2">
      <c r="B4" s="1" t="s">
        <v>52</v>
      </c>
      <c r="C4" s="6" t="s">
        <v>53</v>
      </c>
      <c r="E4" s="5"/>
      <c r="F4" s="5"/>
      <c r="G4" s="5"/>
      <c r="I4" s="5" t="s">
        <v>54</v>
      </c>
      <c r="J4" s="5" t="s">
        <v>55</v>
      </c>
      <c r="K4" s="1" t="s">
        <v>71</v>
      </c>
      <c r="L4" s="5" t="s">
        <v>75</v>
      </c>
      <c r="M4" s="5" t="s">
        <v>74</v>
      </c>
    </row>
    <row r="5" spans="1:13" x14ac:dyDescent="0.2">
      <c r="C5" s="5"/>
      <c r="D5" s="5"/>
    </row>
    <row r="6" spans="1:13" x14ac:dyDescent="0.2">
      <c r="C6" s="5"/>
      <c r="D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</vt:lpstr>
      <vt:lpstr>Main</vt:lpstr>
      <vt:lpstr>M&amp;A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2022-12-01T12:05:23Z</dcterms:created>
  <dcterms:modified xsi:type="dcterms:W3CDTF">2023-02-16T15:27:45Z</dcterms:modified>
</cp:coreProperties>
</file>