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50F5335-D186-40E4-9B9D-DADCC8591A5F}" xr6:coauthVersionLast="36" xr6:coauthVersionMax="47" xr10:uidLastSave="{00000000-0000-0000-0000-000000000000}"/>
  <bookViews>
    <workbookView xWindow="-120" yWindow="-120" windowWidth="29040" windowHeight="15720" activeTab="1" xr2:uid="{4F69BF4D-74DA-4B99-851A-86D37B91804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2" l="1"/>
  <c r="N16" i="2" l="1"/>
  <c r="L81" i="2"/>
  <c r="M81" i="2"/>
  <c r="L72" i="2"/>
  <c r="M72" i="2"/>
  <c r="L71" i="2"/>
  <c r="M71" i="2"/>
  <c r="L70" i="2"/>
  <c r="M70" i="2"/>
  <c r="L68" i="2"/>
  <c r="M68" i="2"/>
  <c r="L67" i="2"/>
  <c r="M67" i="2"/>
  <c r="C38" i="1"/>
  <c r="C37" i="1"/>
  <c r="C36" i="1"/>
  <c r="C35" i="1"/>
  <c r="C10" i="1"/>
  <c r="C9" i="1"/>
  <c r="C7" i="1"/>
  <c r="J78" i="2"/>
  <c r="K78" i="2"/>
  <c r="L78" i="2"/>
  <c r="M78" i="2"/>
  <c r="M76" i="2"/>
  <c r="M75" i="2"/>
  <c r="M60" i="2"/>
  <c r="M59" i="2"/>
  <c r="M42" i="2"/>
  <c r="M62" i="2"/>
  <c r="M64" i="2" s="1"/>
  <c r="M51" i="2"/>
  <c r="M54" i="2" s="1"/>
  <c r="M57" i="2" s="1"/>
  <c r="M39" i="2"/>
  <c r="M29" i="2"/>
  <c r="M28" i="2"/>
  <c r="M26" i="2"/>
  <c r="M25" i="2"/>
  <c r="M24" i="2"/>
  <c r="M23" i="2"/>
  <c r="M9" i="2"/>
  <c r="M6" i="2"/>
  <c r="M80" i="2" l="1"/>
  <c r="M77" i="2"/>
  <c r="M45" i="2"/>
  <c r="AE37" i="2"/>
  <c r="U11" i="2" l="1"/>
  <c r="V11" i="2" s="1"/>
  <c r="W11" i="2" s="1"/>
  <c r="X11" i="2" s="1"/>
  <c r="Y11" i="2" s="1"/>
  <c r="Z11" i="2" s="1"/>
  <c r="AA11" i="2" s="1"/>
  <c r="AB11" i="2" s="1"/>
  <c r="U21" i="2"/>
  <c r="V21" i="2" s="1"/>
  <c r="W21" i="2" s="1"/>
  <c r="X21" i="2" s="1"/>
  <c r="Y21" i="2" s="1"/>
  <c r="Z21" i="2" s="1"/>
  <c r="AA21" i="2" s="1"/>
  <c r="AB21" i="2" s="1"/>
  <c r="T18" i="2"/>
  <c r="T13" i="2"/>
  <c r="U13" i="2" s="1"/>
  <c r="V13" i="2" s="1"/>
  <c r="W13" i="2" s="1"/>
  <c r="X13" i="2" s="1"/>
  <c r="Y13" i="2" s="1"/>
  <c r="Z13" i="2" s="1"/>
  <c r="AA13" i="2" s="1"/>
  <c r="AB13" i="2" s="1"/>
  <c r="T12" i="2"/>
  <c r="T11" i="2"/>
  <c r="N21" i="2"/>
  <c r="T16" i="2"/>
  <c r="N15" i="2"/>
  <c r="T15" i="2" s="1"/>
  <c r="N6" i="2"/>
  <c r="T6" i="2" s="1"/>
  <c r="S77" i="2"/>
  <c r="S76" i="2"/>
  <c r="S75" i="2"/>
  <c r="S28" i="2"/>
  <c r="R26" i="2"/>
  <c r="R25" i="2"/>
  <c r="R24" i="2"/>
  <c r="R23" i="2"/>
  <c r="R20" i="2"/>
  <c r="R16" i="2"/>
  <c r="R9" i="2"/>
  <c r="R6" i="2"/>
  <c r="S26" i="2"/>
  <c r="S25" i="2"/>
  <c r="S24" i="2"/>
  <c r="S23" i="2"/>
  <c r="S2" i="2"/>
  <c r="S18" i="2"/>
  <c r="S16" i="2"/>
  <c r="S15" i="2"/>
  <c r="S13" i="2"/>
  <c r="S12" i="2"/>
  <c r="S11" i="2"/>
  <c r="S8" i="2"/>
  <c r="S9" i="2" s="1"/>
  <c r="S7" i="2"/>
  <c r="S21" i="2"/>
  <c r="S6" i="2"/>
  <c r="S5" i="2"/>
  <c r="S4" i="2"/>
  <c r="K80" i="2"/>
  <c r="L80" i="2"/>
  <c r="J77" i="2"/>
  <c r="J76" i="2"/>
  <c r="J75" i="2"/>
  <c r="K29" i="2"/>
  <c r="J29" i="2"/>
  <c r="J28" i="2"/>
  <c r="F29" i="2"/>
  <c r="G29" i="2"/>
  <c r="F26" i="2"/>
  <c r="F25" i="2"/>
  <c r="F24" i="2"/>
  <c r="F23" i="2"/>
  <c r="F20" i="2"/>
  <c r="F16" i="2"/>
  <c r="F9" i="2"/>
  <c r="F6" i="2"/>
  <c r="J26" i="2"/>
  <c r="J25" i="2"/>
  <c r="J24" i="2"/>
  <c r="J23" i="2"/>
  <c r="J20" i="2"/>
  <c r="J16" i="2"/>
  <c r="J9" i="2"/>
  <c r="J6" i="2"/>
  <c r="E16" i="2"/>
  <c r="E9" i="2"/>
  <c r="E6" i="2"/>
  <c r="I16" i="2"/>
  <c r="I9" i="2"/>
  <c r="I6" i="2"/>
  <c r="I10" i="2" s="1"/>
  <c r="I14" i="2" s="1"/>
  <c r="I17" i="2" s="1"/>
  <c r="I19" i="2" s="1"/>
  <c r="I20" i="2" s="1"/>
  <c r="T28" i="2" l="1"/>
  <c r="U6" i="2"/>
  <c r="N9" i="2"/>
  <c r="M10" i="2"/>
  <c r="M14" i="2" s="1"/>
  <c r="R10" i="2"/>
  <c r="R14" i="2" s="1"/>
  <c r="R17" i="2" s="1"/>
  <c r="R19" i="2" s="1"/>
  <c r="S10" i="2"/>
  <c r="S14" i="2" s="1"/>
  <c r="S17" i="2" s="1"/>
  <c r="S19" i="2" s="1"/>
  <c r="S20" i="2" s="1"/>
  <c r="F10" i="2"/>
  <c r="F14" i="2" s="1"/>
  <c r="F17" i="2" s="1"/>
  <c r="F19" i="2" s="1"/>
  <c r="I28" i="2"/>
  <c r="I23" i="2"/>
  <c r="I24" i="2"/>
  <c r="J10" i="2"/>
  <c r="J14" i="2" s="1"/>
  <c r="J17" i="2" s="1"/>
  <c r="J19" i="2" s="1"/>
  <c r="I25" i="2"/>
  <c r="I26" i="2"/>
  <c r="E10" i="2"/>
  <c r="C19" i="1"/>
  <c r="L29" i="2"/>
  <c r="D11" i="1"/>
  <c r="D10" i="1"/>
  <c r="D9" i="1"/>
  <c r="D7" i="1"/>
  <c r="H76" i="2"/>
  <c r="I76" i="2" s="1"/>
  <c r="H75" i="2"/>
  <c r="I75" i="2" s="1"/>
  <c r="I77" i="2" s="1"/>
  <c r="G77" i="2"/>
  <c r="K77" i="2"/>
  <c r="G16" i="2"/>
  <c r="G9" i="2"/>
  <c r="G6" i="2"/>
  <c r="H29" i="2" s="1"/>
  <c r="K9" i="2"/>
  <c r="K6" i="2"/>
  <c r="L76" i="2"/>
  <c r="L75" i="2"/>
  <c r="L77" i="2" s="1"/>
  <c r="L62" i="2"/>
  <c r="L51" i="2"/>
  <c r="L54" i="2" s="1"/>
  <c r="L57" i="2" s="1"/>
  <c r="L42" i="2"/>
  <c r="L39" i="2"/>
  <c r="H16" i="2"/>
  <c r="H9" i="2"/>
  <c r="L9" i="2"/>
  <c r="H6" i="2"/>
  <c r="I29" i="2" s="1"/>
  <c r="L6" i="2"/>
  <c r="L28" i="2" s="1"/>
  <c r="U9" i="2" l="1"/>
  <c r="U10" i="2" s="1"/>
  <c r="U12" i="2"/>
  <c r="V6" i="2"/>
  <c r="N10" i="2"/>
  <c r="N14" i="2" s="1"/>
  <c r="N24" i="2" s="1"/>
  <c r="T9" i="2"/>
  <c r="T10" i="2" s="1"/>
  <c r="M17" i="2"/>
  <c r="L45" i="2"/>
  <c r="E14" i="2"/>
  <c r="E23" i="2"/>
  <c r="H77" i="2"/>
  <c r="L64" i="2"/>
  <c r="K28" i="2"/>
  <c r="L59" i="2"/>
  <c r="L60" i="2" s="1"/>
  <c r="H10" i="2"/>
  <c r="C8" i="1"/>
  <c r="L10" i="2"/>
  <c r="G10" i="2"/>
  <c r="K10" i="2"/>
  <c r="C11" i="1"/>
  <c r="AE34" i="2" s="1"/>
  <c r="U14" i="2" l="1"/>
  <c r="U17" i="2" s="1"/>
  <c r="C12" i="1"/>
  <c r="T23" i="2"/>
  <c r="T14" i="2"/>
  <c r="N17" i="2"/>
  <c r="N19" i="2" s="1"/>
  <c r="W6" i="2"/>
  <c r="V9" i="2"/>
  <c r="V10" i="2" s="1"/>
  <c r="V12" i="2"/>
  <c r="M19" i="2"/>
  <c r="E17" i="2"/>
  <c r="E24" i="2"/>
  <c r="H14" i="2"/>
  <c r="H23" i="2"/>
  <c r="K14" i="2"/>
  <c r="K23" i="2"/>
  <c r="G14" i="2"/>
  <c r="G23" i="2"/>
  <c r="L23" i="2"/>
  <c r="L14" i="2"/>
  <c r="U24" i="2" l="1"/>
  <c r="N26" i="2"/>
  <c r="U18" i="2"/>
  <c r="U19" i="2" s="1"/>
  <c r="V14" i="2"/>
  <c r="X6" i="2"/>
  <c r="W9" i="2"/>
  <c r="W10" i="2" s="1"/>
  <c r="W12" i="2"/>
  <c r="T17" i="2"/>
  <c r="T24" i="2"/>
  <c r="N25" i="2"/>
  <c r="N20" i="2"/>
  <c r="M20" i="2"/>
  <c r="E19" i="2"/>
  <c r="E26" i="2"/>
  <c r="L24" i="2"/>
  <c r="L17" i="2"/>
  <c r="G17" i="2"/>
  <c r="G24" i="2"/>
  <c r="K17" i="2"/>
  <c r="K24" i="2"/>
  <c r="H24" i="2"/>
  <c r="H17" i="2"/>
  <c r="T20" i="2" l="1"/>
  <c r="U20" i="2"/>
  <c r="U25" i="2"/>
  <c r="T19" i="2"/>
  <c r="T26" i="2"/>
  <c r="W14" i="2"/>
  <c r="Y6" i="2"/>
  <c r="X12" i="2"/>
  <c r="X9" i="2"/>
  <c r="X10" i="2" s="1"/>
  <c r="X14" i="2" s="1"/>
  <c r="V17" i="2"/>
  <c r="V24" i="2"/>
  <c r="E20" i="2"/>
  <c r="E25" i="2"/>
  <c r="H19" i="2"/>
  <c r="H26" i="2"/>
  <c r="G19" i="2"/>
  <c r="G26" i="2"/>
  <c r="K19" i="2"/>
  <c r="K26" i="2"/>
  <c r="L26" i="2"/>
  <c r="L19" i="2"/>
  <c r="V18" i="2" l="1"/>
  <c r="V19" i="2" s="1"/>
  <c r="Z6" i="2"/>
  <c r="Y9" i="2"/>
  <c r="Y10" i="2" s="1"/>
  <c r="Y14" i="2" s="1"/>
  <c r="Y12" i="2"/>
  <c r="X17" i="2"/>
  <c r="X24" i="2"/>
  <c r="W17" i="2"/>
  <c r="W18" i="2" s="1"/>
  <c r="W19" i="2" s="1"/>
  <c r="W24" i="2"/>
  <c r="T25" i="2"/>
  <c r="L20" i="2"/>
  <c r="L25" i="2"/>
  <c r="K25" i="2"/>
  <c r="K20" i="2"/>
  <c r="G25" i="2"/>
  <c r="G20" i="2"/>
  <c r="H20" i="2"/>
  <c r="H25" i="2"/>
  <c r="V20" i="2" l="1"/>
  <c r="V25" i="2"/>
  <c r="W20" i="2"/>
  <c r="W25" i="2"/>
  <c r="X18" i="2"/>
  <c r="X19" i="2"/>
  <c r="Y17" i="2"/>
  <c r="Y18" i="2" s="1"/>
  <c r="Y19" i="2" s="1"/>
  <c r="Y24" i="2"/>
  <c r="AA6" i="2"/>
  <c r="Z12" i="2"/>
  <c r="Z9" i="2"/>
  <c r="Z10" i="2" s="1"/>
  <c r="Z14" i="2" s="1"/>
  <c r="Z17" i="2" l="1"/>
  <c r="Z18" i="2" s="1"/>
  <c r="Z19" i="2" s="1"/>
  <c r="Z24" i="2"/>
  <c r="AB6" i="2"/>
  <c r="AA9" i="2"/>
  <c r="AA10" i="2" s="1"/>
  <c r="AA12" i="2"/>
  <c r="X20" i="2"/>
  <c r="X25" i="2"/>
  <c r="Y20" i="2"/>
  <c r="Y25" i="2"/>
  <c r="AA14" i="2" l="1"/>
  <c r="AA24" i="2" s="1"/>
  <c r="AB12" i="2"/>
  <c r="AB9" i="2"/>
  <c r="AB10" i="2" s="1"/>
  <c r="AB14" i="2" s="1"/>
  <c r="Z20" i="2"/>
  <c r="Z25" i="2"/>
  <c r="AA17" i="2" l="1"/>
  <c r="AA18" i="2" s="1"/>
  <c r="AA19" i="2" s="1"/>
  <c r="AA20" i="2" s="1"/>
  <c r="AB17" i="2"/>
  <c r="AB18" i="2" s="1"/>
  <c r="AB19" i="2" s="1"/>
  <c r="AB24" i="2"/>
  <c r="AA25" i="2" l="1"/>
  <c r="AB20" i="2"/>
  <c r="AC19" i="2"/>
  <c r="AB25" i="2"/>
  <c r="AD19" i="2" l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AE33" i="2" s="1"/>
  <c r="AE35" i="2" s="1"/>
  <c r="AE36" i="2" s="1"/>
  <c r="AE38" i="2" s="1"/>
</calcChain>
</file>

<file path=xl/sharedStrings.xml><?xml version="1.0" encoding="utf-8"?>
<sst xmlns="http://schemas.openxmlformats.org/spreadsheetml/2006/main" count="138" uniqueCount="124">
  <si>
    <t>$GTLB</t>
  </si>
  <si>
    <t>Gitlab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</si>
  <si>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</si>
  <si>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</si>
  <si>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</si>
  <si>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</si>
  <si>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</si>
  <si>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</si>
  <si>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</si>
  <si>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</si>
  <si>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</si>
  <si>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</si>
  <si>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</si>
  <si>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</si>
  <si>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</si>
  <si>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</si>
  <si>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</si>
  <si>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</si>
  <si>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</si>
  <si>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</si>
  <si>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Emply.</t>
  </si>
  <si>
    <t>Update</t>
  </si>
  <si>
    <t>IR</t>
  </si>
  <si>
    <t>Valuation Metrics</t>
  </si>
  <si>
    <t>P/B</t>
  </si>
  <si>
    <t>P/S</t>
  </si>
  <si>
    <t>Stockopedia</t>
  </si>
  <si>
    <t>P/E</t>
  </si>
  <si>
    <t>Link</t>
  </si>
  <si>
    <t>San Francisco, CA</t>
  </si>
  <si>
    <t>Key Events</t>
  </si>
  <si>
    <t>Q225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</si>
  <si>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</si>
  <si>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</si>
  <si>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</si>
  <si>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</si>
  <si>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</si>
  <si>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</si>
  <si>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</si>
  <si>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</si>
  <si>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</si>
  <si>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Subscription COGS</t>
  </si>
  <si>
    <t>License COGS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</si>
  <si>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</si>
  <si>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</si>
  <si>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</si>
  <si>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</si>
  <si>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</si>
  <si>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</si>
  <si>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</si>
  <si>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</si>
  <si>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</si>
  <si>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</si>
  <si>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</si>
  <si>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</si>
  <si>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Gross Marign</t>
  </si>
  <si>
    <t>Operating Marign</t>
  </si>
  <si>
    <t>Net Margin</t>
  </si>
  <si>
    <t>Tax Rate</t>
  </si>
  <si>
    <t>Revenue Y/Y</t>
  </si>
  <si>
    <t>Revenue Q/Q</t>
  </si>
  <si>
    <t>Balance Sheet</t>
  </si>
  <si>
    <t>Short-Term Investments</t>
  </si>
  <si>
    <t>A/R</t>
  </si>
  <si>
    <t>Deferred Contracts</t>
  </si>
  <si>
    <t>Prepaid Expenses</t>
  </si>
  <si>
    <t>TCA</t>
  </si>
  <si>
    <t>PP&amp;E</t>
  </si>
  <si>
    <t>Operating Lease ROU</t>
  </si>
  <si>
    <t>Goodwill+Intangibles</t>
  </si>
  <si>
    <t>Other NCA</t>
  </si>
  <si>
    <t>Assets</t>
  </si>
  <si>
    <t>A/P</t>
  </si>
  <si>
    <t>Accrued Expenses</t>
  </si>
  <si>
    <t>Accrued Compensation</t>
  </si>
  <si>
    <t>Deferred Revenue</t>
  </si>
  <si>
    <t>TCL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</si>
  <si>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</si>
  <si>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</si>
  <si>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</si>
  <si>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</si>
  <si>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</si>
  <si>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</si>
  <si>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</si>
  <si>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</t>
  </si>
  <si>
    <t>CFFO</t>
  </si>
  <si>
    <t>CapEx</t>
  </si>
  <si>
    <t>FCF</t>
  </si>
  <si>
    <t>FCF per Share</t>
  </si>
  <si>
    <t>Price - FCF</t>
  </si>
  <si>
    <t>FCF TTM</t>
  </si>
  <si>
    <t>Sytse Sijbrandij</t>
  </si>
  <si>
    <t>CoFound</t>
  </si>
  <si>
    <t>Brian Robins</t>
  </si>
  <si>
    <t>Sabrina Farmer</t>
  </si>
  <si>
    <t>FY21</t>
  </si>
  <si>
    <t>FY22</t>
  </si>
  <si>
    <t>FY23</t>
  </si>
  <si>
    <t>FY24</t>
  </si>
  <si>
    <t>FY25</t>
  </si>
  <si>
    <t>Subscription Reveune</t>
  </si>
  <si>
    <t>License Revenue</t>
  </si>
  <si>
    <t>Q325</t>
  </si>
  <si>
    <t>Q425</t>
  </si>
  <si>
    <t>P/FCF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</si>
  <si>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</si>
  <si>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</si>
  <si>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</si>
  <si>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</si>
  <si>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</si>
  <si>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</si>
  <si>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</si>
  <si>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</si>
  <si>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</si>
  <si>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</si>
  <si>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</si>
  <si>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</si>
  <si>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</si>
  <si>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</si>
  <si>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</si>
  <si>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</si>
  <si>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</si>
  <si>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DevOps Git Repositories, License/Subscription model</t>
  </si>
  <si>
    <t>AWS and GitLab Announce Integrated AI Offering to Accelerate Software Innovation and Developer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</si>
</sst>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\x"/>
    <numFmt numFmtId="165" formatCode="#,##0.0"/>
    <numFmt numFmtId="166" formatCode="_-* #,##0_-;\-* #,##0_-;_-* &quot;-&quot;??_-;_-@_-"/>
    <numFmt numFmtId="168" formatCode="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Border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3" fontId="2" fillId="0" borderId="0" xfId="0" applyNumberFormat="1" applyFont="1"/>
    <xf numFmtId="0" fontId="1" fillId="4" borderId="0" xfId="0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1" fontId="8" fillId="0" borderId="0" xfId="0" applyNumberFormat="1" applyFont="1"/>
    <xf numFmtId="1" fontId="8" fillId="0" borderId="0" xfId="0" applyNumberFormat="1" applyFont="1" applyAlignment="1">
      <alignment horizontal="left" indent="1"/>
    </xf>
    <xf numFmtId="16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left" indent="1"/>
    </xf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3" fontId="2" fillId="0" borderId="5" xfId="0" applyNumberFormat="1" applyFont="1" applyBorder="1"/>
    <xf numFmtId="3" fontId="1" fillId="0" borderId="5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166" fontId="1" fillId="0" borderId="5" xfId="2" applyNumberFormat="1" applyFont="1" applyBorder="1"/>
    <xf numFmtId="9" fontId="1" fillId="0" borderId="8" xfId="0" applyNumberFormat="1" applyFont="1" applyBorder="1"/>
    <xf numFmtId="16" fontId="2" fillId="3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8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47625</xdr:rowOff>
    </xdr:from>
    <xdr:to>
      <xdr:col>3</xdr:col>
      <xdr:colOff>247650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60B26-2999-20B8-5739-675C4D780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9525</xdr:colOff>
      <xdr:row>88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AC94EC-93FF-A995-04FD-172AE4A9D715}"/>
            </a:ext>
          </a:extLst>
        </xdr:cNvPr>
        <xdr:cNvCxnSpPr/>
      </xdr:nvCxnSpPr>
      <xdr:spPr>
        <a:xfrm>
          <a:off x="8524875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0</xdr:rowOff>
    </xdr:from>
    <xdr:to>
      <xdr:col>19</xdr:col>
      <xdr:colOff>19050</xdr:colOff>
      <xdr:row>88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00DB7CC-1AFE-4EF6-BF37-C8AEF3787A05}"/>
            </a:ext>
          </a:extLst>
        </xdr:cNvPr>
        <xdr:cNvCxnSpPr/>
      </xdr:nvCxnSpPr>
      <xdr:spPr>
        <a:xfrm>
          <a:off x="121920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gitlab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s204.q4cdn.com/984476563/files/doc_financials/2024/q3/120423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sec.gov/ix?doc=/Archives/edgar/data/1653482/000162828024026458/gtlb-20240430.htm" TargetMode="External"/><Relationship Id="rId1" Type="http://schemas.openxmlformats.org/officeDocument/2006/relationships/hyperlink" Target="https://sec.gov/ix?doc=/Archives/edgar/data/1653482/000162828024039196/gtlb-20240731.htm" TargetMode="External"/><Relationship Id="rId6" Type="http://schemas.openxmlformats.org/officeDocument/2006/relationships/hyperlink" Target="https://s204.q4cdn.com/984476563/files/doc_news/GitLab-Reports-Third-Quarter-Fiscal-Year-2025-Financial-Results-2024.pdf" TargetMode="External"/><Relationship Id="rId5" Type="http://schemas.openxmlformats.org/officeDocument/2006/relationships/hyperlink" Target="https://s204.q4cdn.com/984476563/files/doc_financials/2024/q4/030424.pdf" TargetMode="External"/><Relationship Id="rId4" Type="http://schemas.openxmlformats.org/officeDocument/2006/relationships/hyperlink" Target="https://s204.q4cdn.com/984476563/files/doc_financials/2024/q4/0304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1D5-6D1F-45E0-98C8-B94DC16F2D33}">
  <dimension ref="A2:O39"/>
  <sheetViews>
    <sheetView workbookViewId="0">
      <selection activeCell="I15" sqref="I15"/>
    </sheetView>
  </sheetViews>
  <sheetFormatPr defaultRowHeight="12.75" x14ac:dyDescent="0.2"/>
  <cols>
    <col min="1" max="16384" width="9.140625" style="1"/>
  </cols>
  <sheetData>
    <row r="2" spans="1:15" x14ac:dyDescent="0.2">
      <c r="B2" s="2" t="s">
        <v>0</v>
      </c>
      <c r="F2" s="1" t="s">
        <v>122</v>
      </c>
    </row>
    <row r="3" spans="1:15" x14ac:dyDescent="0.2">
      <c r="B3" s="2" t="s">
        <v>1</v>
      </c>
    </row>
    <row r="5" spans="1:15" x14ac:dyDescent="0.2">
      <c r="B5" s="53" t="s">
        <v>2</v>
      </c>
      <c r="C5" s="54"/>
      <c r="D5" s="55"/>
      <c r="G5" s="53" t="s">
        <v>30</v>
      </c>
      <c r="H5" s="54"/>
      <c r="I5" s="54"/>
      <c r="J5" s="54"/>
      <c r="K5" s="54"/>
      <c r="L5" s="54"/>
      <c r="M5" s="54"/>
      <c r="N5" s="54"/>
      <c r="O5" s="55"/>
    </row>
    <row r="6" spans="1:15" x14ac:dyDescent="0.2">
      <c r="B6" s="7" t="s">
        <v>3</v>
      </c>
      <c r="C6" s="4">
        <v>66.650000000000006</v>
      </c>
      <c r="D6" s="19"/>
      <c r="G6" s="17"/>
      <c r="H6" s="13"/>
      <c r="I6" s="13"/>
      <c r="J6" s="13"/>
      <c r="K6" s="13"/>
      <c r="L6" s="13"/>
      <c r="M6" s="13"/>
      <c r="N6" s="13"/>
      <c r="O6" s="14"/>
    </row>
    <row r="7" spans="1:15" x14ac:dyDescent="0.2">
      <c r="B7" s="7" t="s">
        <v>4</v>
      </c>
      <c r="C7" s="29">
        <f>+'Financial Model'!M21</f>
        <v>161.31700000000001</v>
      </c>
      <c r="D7" s="19" t="str">
        <f>+C30</f>
        <v>Q325</v>
      </c>
      <c r="G7" s="52">
        <v>45630</v>
      </c>
      <c r="H7" s="13" t="s">
        <v>123</v>
      </c>
      <c r="I7" s="13"/>
      <c r="J7" s="13"/>
      <c r="K7" s="13"/>
      <c r="L7" s="13"/>
      <c r="M7" s="13"/>
      <c r="N7" s="13"/>
      <c r="O7" s="14"/>
    </row>
    <row r="8" spans="1:15" x14ac:dyDescent="0.2">
      <c r="B8" s="7" t="s">
        <v>5</v>
      </c>
      <c r="C8" s="5">
        <f>C6*C7</f>
        <v>10751.778050000001</v>
      </c>
      <c r="D8" s="19"/>
      <c r="G8" s="17"/>
      <c r="H8" s="13"/>
      <c r="I8" s="13"/>
      <c r="J8" s="13"/>
      <c r="K8" s="13"/>
      <c r="L8" s="13"/>
      <c r="M8" s="13"/>
      <c r="N8" s="13"/>
      <c r="O8" s="14"/>
    </row>
    <row r="9" spans="1:15" x14ac:dyDescent="0.2">
      <c r="B9" s="7" t="s">
        <v>6</v>
      </c>
      <c r="C9" s="5">
        <f>+'Financial Model'!M62</f>
        <v>916.97</v>
      </c>
      <c r="D9" s="19" t="str">
        <f>+C30</f>
        <v>Q325</v>
      </c>
      <c r="G9" s="17"/>
      <c r="H9" s="13"/>
      <c r="I9" s="13"/>
      <c r="J9" s="13"/>
      <c r="K9" s="13"/>
      <c r="L9" s="13"/>
      <c r="M9" s="13"/>
      <c r="N9" s="13"/>
      <c r="O9" s="14"/>
    </row>
    <row r="10" spans="1:15" x14ac:dyDescent="0.2">
      <c r="B10" s="7" t="s">
        <v>7</v>
      </c>
      <c r="C10" s="5">
        <f>+'Financial Model'!M63</f>
        <v>0</v>
      </c>
      <c r="D10" s="19" t="str">
        <f>+C30</f>
        <v>Q325</v>
      </c>
      <c r="G10" s="17"/>
      <c r="H10" s="13"/>
      <c r="I10" s="13"/>
      <c r="J10" s="13"/>
      <c r="K10" s="13"/>
      <c r="L10" s="13"/>
      <c r="M10" s="13"/>
      <c r="N10" s="13"/>
      <c r="O10" s="14"/>
    </row>
    <row r="11" spans="1:15" x14ac:dyDescent="0.2">
      <c r="B11" s="7" t="s">
        <v>8</v>
      </c>
      <c r="C11" s="5">
        <f>C9-C10</f>
        <v>916.97</v>
      </c>
      <c r="D11" s="19" t="str">
        <f>+C30</f>
        <v>Q325</v>
      </c>
      <c r="G11" s="17"/>
      <c r="H11" s="13"/>
      <c r="I11" s="13"/>
      <c r="J11" s="13"/>
      <c r="K11" s="13"/>
      <c r="L11" s="13"/>
      <c r="M11" s="13"/>
      <c r="N11" s="13"/>
      <c r="O11" s="14"/>
    </row>
    <row r="12" spans="1:15" x14ac:dyDescent="0.2">
      <c r="B12" s="8" t="s">
        <v>9</v>
      </c>
      <c r="C12" s="6">
        <f>C8-C11</f>
        <v>9834.8080500000015</v>
      </c>
      <c r="D12" s="20"/>
      <c r="G12" s="17"/>
      <c r="H12" s="13"/>
      <c r="I12" s="13"/>
      <c r="J12" s="13"/>
      <c r="K12" s="13"/>
      <c r="L12" s="13"/>
      <c r="M12" s="13"/>
      <c r="N12" s="13"/>
      <c r="O12" s="14"/>
    </row>
    <row r="13" spans="1:15" x14ac:dyDescent="0.2">
      <c r="G13" s="17"/>
      <c r="H13" s="13"/>
      <c r="I13" s="13"/>
      <c r="J13" s="13"/>
      <c r="K13" s="13"/>
      <c r="L13" s="13"/>
      <c r="M13" s="13"/>
      <c r="N13" s="13"/>
      <c r="O13" s="14"/>
    </row>
    <row r="14" spans="1:15" x14ac:dyDescent="0.2">
      <c r="G14" s="17"/>
      <c r="H14" s="13"/>
      <c r="I14" s="13"/>
      <c r="J14" s="13"/>
      <c r="K14" s="13"/>
      <c r="L14" s="13"/>
      <c r="M14" s="13"/>
      <c r="N14" s="13"/>
      <c r="O14" s="14"/>
    </row>
    <row r="15" spans="1:15" x14ac:dyDescent="0.2">
      <c r="B15" s="53" t="s">
        <v>11</v>
      </c>
      <c r="C15" s="54"/>
      <c r="D15" s="55"/>
      <c r="G15" s="17"/>
      <c r="H15" s="13"/>
      <c r="I15" s="13"/>
      <c r="J15" s="13"/>
      <c r="K15" s="13"/>
      <c r="L15" s="13"/>
      <c r="M15" s="13"/>
      <c r="N15" s="13"/>
      <c r="O15" s="14"/>
    </row>
    <row r="16" spans="1:15" x14ac:dyDescent="0.2">
      <c r="A16" s="1" t="s">
        <v>92</v>
      </c>
      <c r="B16" s="9" t="s">
        <v>12</v>
      </c>
      <c r="C16" s="58" t="s">
        <v>91</v>
      </c>
      <c r="D16" s="59"/>
      <c r="G16" s="17"/>
      <c r="H16" s="13"/>
      <c r="I16" s="13"/>
      <c r="J16" s="13"/>
      <c r="K16" s="13"/>
      <c r="L16" s="13"/>
      <c r="M16" s="13"/>
      <c r="N16" s="13"/>
      <c r="O16" s="14"/>
    </row>
    <row r="17" spans="2:15" x14ac:dyDescent="0.2">
      <c r="B17" s="9" t="s">
        <v>13</v>
      </c>
      <c r="C17" s="58" t="s">
        <v>93</v>
      </c>
      <c r="D17" s="59"/>
      <c r="G17" s="17"/>
      <c r="H17" s="13"/>
      <c r="I17" s="13"/>
      <c r="J17" s="13"/>
      <c r="K17" s="13"/>
      <c r="L17" s="13"/>
      <c r="M17" s="13"/>
      <c r="N17" s="13"/>
      <c r="O17" s="14"/>
    </row>
    <row r="18" spans="2:15" x14ac:dyDescent="0.2">
      <c r="B18" s="9" t="s">
        <v>14</v>
      </c>
      <c r="C18" s="58" t="s">
        <v>94</v>
      </c>
      <c r="D18" s="59"/>
      <c r="G18" s="17"/>
      <c r="H18" s="13"/>
      <c r="I18" s="13"/>
      <c r="J18" s="13"/>
      <c r="K18" s="13"/>
      <c r="L18" s="13"/>
      <c r="M18" s="13"/>
      <c r="N18" s="13"/>
      <c r="O18" s="14"/>
    </row>
    <row r="19" spans="2:15" x14ac:dyDescent="0.2">
      <c r="B19" s="10" t="s">
        <v>15</v>
      </c>
      <c r="C19" s="62" t="str">
        <f>+C16</f>
        <v>Sytse Sijbrandij</v>
      </c>
      <c r="D19" s="63"/>
      <c r="G19" s="17"/>
      <c r="H19" s="13"/>
      <c r="I19" s="13"/>
      <c r="J19" s="13"/>
      <c r="K19" s="13"/>
      <c r="L19" s="13"/>
      <c r="M19" s="13"/>
      <c r="N19" s="13"/>
      <c r="O19" s="14"/>
    </row>
    <row r="20" spans="2:15" x14ac:dyDescent="0.2">
      <c r="G20" s="17"/>
      <c r="H20" s="13"/>
      <c r="I20" s="13"/>
      <c r="J20" s="13"/>
      <c r="K20" s="13"/>
      <c r="L20" s="13"/>
      <c r="M20" s="13"/>
      <c r="N20" s="13"/>
      <c r="O20" s="14"/>
    </row>
    <row r="21" spans="2:15" x14ac:dyDescent="0.2">
      <c r="G21" s="17"/>
      <c r="H21" s="13"/>
      <c r="I21" s="13"/>
      <c r="J21" s="13"/>
      <c r="K21" s="13"/>
      <c r="L21" s="13"/>
      <c r="M21" s="13"/>
      <c r="N21" s="13"/>
      <c r="O21" s="14"/>
    </row>
    <row r="22" spans="2:15" x14ac:dyDescent="0.2">
      <c r="B22" s="53" t="s">
        <v>16</v>
      </c>
      <c r="C22" s="54"/>
      <c r="D22" s="55"/>
      <c r="G22" s="17"/>
      <c r="H22" s="13"/>
      <c r="I22" s="13"/>
      <c r="J22" s="13"/>
      <c r="K22" s="13"/>
      <c r="L22" s="13"/>
      <c r="M22" s="13"/>
      <c r="N22" s="13"/>
      <c r="O22" s="14"/>
    </row>
    <row r="23" spans="2:15" x14ac:dyDescent="0.2">
      <c r="B23" s="11" t="s">
        <v>17</v>
      </c>
      <c r="C23" s="58">
        <v>2011</v>
      </c>
      <c r="D23" s="59"/>
      <c r="G23" s="17"/>
      <c r="H23" s="13"/>
      <c r="I23" s="13"/>
      <c r="J23" s="13"/>
      <c r="K23" s="13"/>
      <c r="L23" s="13"/>
      <c r="M23" s="13"/>
      <c r="N23" s="13"/>
      <c r="O23" s="14"/>
    </row>
    <row r="24" spans="2:15" x14ac:dyDescent="0.2">
      <c r="B24" s="11" t="s">
        <v>18</v>
      </c>
      <c r="C24" s="58" t="s">
        <v>29</v>
      </c>
      <c r="D24" s="59"/>
      <c r="G24" s="17"/>
      <c r="H24" s="13"/>
      <c r="I24" s="13"/>
      <c r="J24" s="13"/>
      <c r="K24" s="13"/>
      <c r="L24" s="13"/>
      <c r="M24" s="13"/>
      <c r="N24" s="13"/>
      <c r="O24" s="14"/>
    </row>
    <row r="25" spans="2:15" x14ac:dyDescent="0.2">
      <c r="B25" s="11" t="s">
        <v>19</v>
      </c>
      <c r="C25" s="58">
        <v>2021</v>
      </c>
      <c r="D25" s="59"/>
      <c r="G25" s="17"/>
      <c r="H25" s="13"/>
      <c r="I25" s="13"/>
      <c r="J25" s="13"/>
      <c r="K25" s="13"/>
      <c r="L25" s="13"/>
      <c r="M25" s="13"/>
      <c r="N25" s="13"/>
      <c r="O25" s="14"/>
    </row>
    <row r="26" spans="2:15" x14ac:dyDescent="0.2">
      <c r="B26" s="11"/>
      <c r="C26" s="58"/>
      <c r="D26" s="59"/>
      <c r="G26" s="17"/>
      <c r="H26" s="13"/>
      <c r="I26" s="13"/>
      <c r="J26" s="13"/>
      <c r="K26" s="13"/>
      <c r="L26" s="13"/>
      <c r="M26" s="13"/>
      <c r="N26" s="13"/>
      <c r="O26" s="14"/>
    </row>
    <row r="27" spans="2:15" x14ac:dyDescent="0.2">
      <c r="B27" s="11"/>
      <c r="C27" s="58"/>
      <c r="D27" s="59"/>
      <c r="G27" s="17"/>
      <c r="H27" s="13"/>
      <c r="I27" s="13"/>
      <c r="J27" s="13"/>
      <c r="K27" s="13"/>
      <c r="L27" s="13"/>
      <c r="M27" s="13"/>
      <c r="N27" s="13"/>
      <c r="O27" s="14"/>
    </row>
    <row r="28" spans="2:15" x14ac:dyDescent="0.2">
      <c r="B28" s="11" t="s">
        <v>20</v>
      </c>
      <c r="C28" s="56">
        <v>2130</v>
      </c>
      <c r="D28" s="57"/>
      <c r="G28" s="17"/>
      <c r="H28" s="13"/>
      <c r="I28" s="13"/>
      <c r="J28" s="13"/>
      <c r="K28" s="13"/>
      <c r="L28" s="13"/>
      <c r="M28" s="13"/>
      <c r="N28" s="13"/>
      <c r="O28" s="14"/>
    </row>
    <row r="29" spans="2:15" x14ac:dyDescent="0.2">
      <c r="B29" s="11"/>
      <c r="C29" s="58"/>
      <c r="D29" s="59"/>
      <c r="G29" s="17"/>
      <c r="H29" s="13"/>
      <c r="I29" s="13"/>
      <c r="J29" s="13"/>
      <c r="K29" s="13"/>
      <c r="L29" s="13"/>
      <c r="M29" s="13"/>
      <c r="N29" s="13"/>
      <c r="O29" s="14"/>
    </row>
    <row r="30" spans="2:15" x14ac:dyDescent="0.2">
      <c r="B30" s="11" t="s">
        <v>21</v>
      </c>
      <c r="C30" s="34" t="s">
        <v>102</v>
      </c>
      <c r="D30" s="35">
        <v>45631</v>
      </c>
      <c r="G30" s="17"/>
      <c r="H30" s="13"/>
      <c r="I30" s="13"/>
      <c r="J30" s="13"/>
      <c r="K30" s="13"/>
      <c r="L30" s="13"/>
      <c r="M30" s="13"/>
      <c r="N30" s="13"/>
      <c r="O30" s="14"/>
    </row>
    <row r="31" spans="2:15" x14ac:dyDescent="0.2">
      <c r="B31" s="12" t="s">
        <v>22</v>
      </c>
      <c r="C31" s="60" t="s">
        <v>28</v>
      </c>
      <c r="D31" s="61"/>
      <c r="G31" s="18"/>
      <c r="H31" s="15"/>
      <c r="I31" s="15"/>
      <c r="J31" s="15"/>
      <c r="K31" s="15"/>
      <c r="L31" s="15"/>
      <c r="M31" s="15"/>
      <c r="N31" s="15"/>
      <c r="O31" s="16"/>
    </row>
    <row r="34" spans="2:4" x14ac:dyDescent="0.2">
      <c r="B34" s="53" t="s">
        <v>23</v>
      </c>
      <c r="C34" s="54"/>
      <c r="D34" s="55"/>
    </row>
    <row r="35" spans="2:4" x14ac:dyDescent="0.2">
      <c r="B35" s="11" t="s">
        <v>24</v>
      </c>
      <c r="C35" s="64">
        <f>+C6/'Financial Model'!M60</f>
        <v>13.959341604552462</v>
      </c>
      <c r="D35" s="65"/>
    </row>
    <row r="36" spans="2:4" x14ac:dyDescent="0.2">
      <c r="B36" s="11" t="s">
        <v>25</v>
      </c>
      <c r="C36" s="64">
        <f>+C8/SUM('Financial Model'!J6:M6)</f>
        <v>15.109363937734422</v>
      </c>
      <c r="D36" s="65"/>
    </row>
    <row r="37" spans="2:4" x14ac:dyDescent="0.2">
      <c r="B37" s="11" t="s">
        <v>27</v>
      </c>
      <c r="C37" s="64">
        <f>+C6/SUM('Financial Model'!J20:M20)</f>
        <v>-200.06816543627292</v>
      </c>
      <c r="D37" s="65"/>
    </row>
    <row r="38" spans="2:4" x14ac:dyDescent="0.2">
      <c r="B38" s="11" t="s">
        <v>104</v>
      </c>
      <c r="C38" s="64">
        <f>+C6/'Financial Model'!M80</f>
        <v>146.20312822953488</v>
      </c>
      <c r="D38" s="65"/>
    </row>
    <row r="39" spans="2:4" x14ac:dyDescent="0.2">
      <c r="B39" s="12" t="s">
        <v>26</v>
      </c>
      <c r="C39" s="62">
        <v>41</v>
      </c>
      <c r="D39" s="63"/>
    </row>
  </sheetData>
  <mergeCells count="22">
    <mergeCell ref="C39:D39"/>
    <mergeCell ref="B15:D15"/>
    <mergeCell ref="C16:D16"/>
    <mergeCell ref="C17:D17"/>
    <mergeCell ref="C18:D18"/>
    <mergeCell ref="C19:D19"/>
    <mergeCell ref="C36:D36"/>
    <mergeCell ref="C37:D37"/>
    <mergeCell ref="C38:D38"/>
    <mergeCell ref="C35:D35"/>
    <mergeCell ref="G5:O5"/>
    <mergeCell ref="C28:D28"/>
    <mergeCell ref="C29:D29"/>
    <mergeCell ref="C31:D31"/>
    <mergeCell ref="B34:D34"/>
    <mergeCell ref="B22:D22"/>
    <mergeCell ref="C23:D23"/>
    <mergeCell ref="C24:D24"/>
    <mergeCell ref="C25:D25"/>
    <mergeCell ref="C26:D26"/>
    <mergeCell ref="C27:D27"/>
    <mergeCell ref="B5:D5"/>
  </mergeCells>
  <hyperlinks>
    <hyperlink ref="C31:D31" r:id="rId1" display="Link" xr:uid="{3CFDFC33-4502-4D5A-AAC4-1C9E296A7A2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7C19-8595-4298-8C6A-8F2F334D2581}">
  <dimension ref="A1:CT81"/>
  <sheetViews>
    <sheetView tabSelected="1" zoomScaleNormal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U19" sqref="U19"/>
    </sheetView>
  </sheetViews>
  <sheetFormatPr defaultRowHeight="12.75" x14ac:dyDescent="0.2"/>
  <cols>
    <col min="1" max="1" width="4.28515625" style="1" customWidth="1"/>
    <col min="2" max="2" width="22.85546875" style="1" bestFit="1" customWidth="1"/>
    <col min="3" max="16384" width="9.140625" style="1"/>
  </cols>
  <sheetData>
    <row r="1" spans="1:30" s="21" customFormat="1" x14ac:dyDescent="0.2">
      <c r="C1" s="21" t="s">
        <v>40</v>
      </c>
      <c r="D1" s="21" t="s">
        <v>39</v>
      </c>
      <c r="E1" s="21" t="s">
        <v>38</v>
      </c>
      <c r="F1" s="21" t="s">
        <v>37</v>
      </c>
      <c r="G1" s="21" t="s">
        <v>36</v>
      </c>
      <c r="H1" s="21" t="s">
        <v>35</v>
      </c>
      <c r="I1" s="26" t="s">
        <v>34</v>
      </c>
      <c r="J1" s="26" t="s">
        <v>33</v>
      </c>
      <c r="K1" s="26" t="s">
        <v>32</v>
      </c>
      <c r="L1" s="26" t="s">
        <v>31</v>
      </c>
      <c r="M1" s="26" t="s">
        <v>102</v>
      </c>
      <c r="N1" s="21" t="s">
        <v>103</v>
      </c>
      <c r="P1" s="21" t="s">
        <v>95</v>
      </c>
      <c r="Q1" s="21" t="s">
        <v>96</v>
      </c>
      <c r="R1" s="21" t="s">
        <v>97</v>
      </c>
      <c r="S1" s="26" t="s">
        <v>98</v>
      </c>
      <c r="T1" s="21" t="s">
        <v>99</v>
      </c>
      <c r="U1" s="21" t="s">
        <v>105</v>
      </c>
      <c r="V1" s="21" t="s">
        <v>106</v>
      </c>
      <c r="W1" s="21" t="s">
        <v>107</v>
      </c>
      <c r="X1" s="21" t="s">
        <v>108</v>
      </c>
      <c r="Y1" s="21" t="s">
        <v>109</v>
      </c>
      <c r="Z1" s="21" t="s">
        <v>110</v>
      </c>
      <c r="AA1" s="21" t="s">
        <v>111</v>
      </c>
      <c r="AB1" s="21" t="s">
        <v>112</v>
      </c>
      <c r="AC1" s="21" t="s">
        <v>113</v>
      </c>
      <c r="AD1" s="21" t="s">
        <v>114</v>
      </c>
    </row>
    <row r="2" spans="1:30" s="23" customFormat="1" x14ac:dyDescent="0.2">
      <c r="A2" s="22"/>
      <c r="E2" s="24">
        <v>44865</v>
      </c>
      <c r="F2" s="24">
        <v>44957</v>
      </c>
      <c r="G2" s="24">
        <v>45046</v>
      </c>
      <c r="H2" s="24">
        <v>45138</v>
      </c>
      <c r="I2" s="24">
        <v>45230</v>
      </c>
      <c r="J2" s="24">
        <v>45322</v>
      </c>
      <c r="K2" s="24">
        <v>45412</v>
      </c>
      <c r="L2" s="24">
        <v>45504</v>
      </c>
      <c r="M2" s="24">
        <v>45596</v>
      </c>
      <c r="S2" s="24">
        <f>+J2</f>
        <v>45322</v>
      </c>
    </row>
    <row r="3" spans="1:30" s="23" customFormat="1" x14ac:dyDescent="0.2">
      <c r="A3" s="22"/>
      <c r="I3" s="25">
        <v>38322</v>
      </c>
      <c r="J3" s="38">
        <v>45355</v>
      </c>
      <c r="K3" s="25">
        <v>38139</v>
      </c>
      <c r="L3" s="25">
        <v>45536</v>
      </c>
      <c r="M3" s="25">
        <v>45631</v>
      </c>
      <c r="S3" s="38">
        <v>45355</v>
      </c>
    </row>
    <row r="4" spans="1:30" s="36" customFormat="1" x14ac:dyDescent="0.2">
      <c r="B4" s="37" t="s">
        <v>100</v>
      </c>
      <c r="E4" s="36">
        <v>98.435000000000002</v>
      </c>
      <c r="F4" s="36">
        <v>105.05500000000001</v>
      </c>
      <c r="G4" s="36">
        <v>111.191</v>
      </c>
      <c r="H4" s="36">
        <v>122.096</v>
      </c>
      <c r="I4" s="36">
        <v>130.99299999999999</v>
      </c>
      <c r="J4" s="36">
        <v>142.02600000000001</v>
      </c>
      <c r="K4" s="36">
        <v>151.179</v>
      </c>
      <c r="L4" s="36">
        <v>163.18100000000001</v>
      </c>
      <c r="M4" s="36">
        <v>175.25700000000001</v>
      </c>
      <c r="R4" s="36">
        <v>369.34899999999999</v>
      </c>
      <c r="S4" s="36">
        <f>+SUM(G4:J4)</f>
        <v>506.30599999999998</v>
      </c>
    </row>
    <row r="5" spans="1:30" s="36" customFormat="1" x14ac:dyDescent="0.2">
      <c r="B5" s="37" t="s">
        <v>101</v>
      </c>
      <c r="E5" s="36">
        <v>14.545999999999999</v>
      </c>
      <c r="F5" s="36">
        <v>17.852</v>
      </c>
      <c r="G5" s="36">
        <v>15.686999999999999</v>
      </c>
      <c r="H5" s="36">
        <v>17.484999999999999</v>
      </c>
      <c r="I5" s="36">
        <v>18.675000000000001</v>
      </c>
      <c r="J5" s="36">
        <v>21.753</v>
      </c>
      <c r="K5" s="36">
        <v>18.007999999999999</v>
      </c>
      <c r="L5" s="36">
        <v>19.402999999999999</v>
      </c>
      <c r="M5" s="36">
        <v>20.79</v>
      </c>
      <c r="R5" s="36">
        <v>54.987000000000002</v>
      </c>
      <c r="S5" s="36">
        <f>+SUM(G5:J5)</f>
        <v>73.599999999999994</v>
      </c>
    </row>
    <row r="6" spans="1:30" s="33" customFormat="1" x14ac:dyDescent="0.2">
      <c r="B6" s="33" t="s">
        <v>10</v>
      </c>
      <c r="E6" s="33">
        <f t="shared" ref="E6:M6" si="0">+E4+E5</f>
        <v>112.98099999999999</v>
      </c>
      <c r="F6" s="33">
        <f t="shared" si="0"/>
        <v>122.90700000000001</v>
      </c>
      <c r="G6" s="33">
        <f t="shared" si="0"/>
        <v>126.878</v>
      </c>
      <c r="H6" s="33">
        <f t="shared" si="0"/>
        <v>139.58100000000002</v>
      </c>
      <c r="I6" s="33">
        <f t="shared" si="0"/>
        <v>149.66800000000001</v>
      </c>
      <c r="J6" s="33">
        <f t="shared" si="0"/>
        <v>163.779</v>
      </c>
      <c r="K6" s="33">
        <f t="shared" si="0"/>
        <v>169.18700000000001</v>
      </c>
      <c r="L6" s="33">
        <f t="shared" si="0"/>
        <v>182.584</v>
      </c>
      <c r="M6" s="33">
        <f t="shared" si="0"/>
        <v>196.047</v>
      </c>
      <c r="N6" s="33">
        <f t="shared" ref="N6" si="1">+J6*(1+N28)</f>
        <v>216.18827999999999</v>
      </c>
      <c r="R6" s="33">
        <f>+R4+R5</f>
        <v>424.33600000000001</v>
      </c>
      <c r="S6" s="33">
        <f>+S4+S5</f>
        <v>579.90599999999995</v>
      </c>
      <c r="T6" s="33">
        <f>+SUM(K6:N6)</f>
        <v>764.00627999999995</v>
      </c>
      <c r="U6" s="33">
        <f>+T6*(1+U28)</f>
        <v>993.20816400000001</v>
      </c>
      <c r="V6" s="33">
        <f t="shared" ref="V6:AB6" si="2">+U6*(1+V28)</f>
        <v>1241.510205</v>
      </c>
      <c r="W6" s="33">
        <f t="shared" si="2"/>
        <v>1514.6424500999999</v>
      </c>
      <c r="X6" s="33">
        <f t="shared" si="2"/>
        <v>1817.5709401199999</v>
      </c>
      <c r="Y6" s="33">
        <f t="shared" si="2"/>
        <v>2090.2065811379998</v>
      </c>
      <c r="Z6" s="33">
        <f t="shared" si="2"/>
        <v>2299.2272392517998</v>
      </c>
      <c r="AA6" s="33">
        <f t="shared" si="2"/>
        <v>2414.18860121439</v>
      </c>
      <c r="AB6" s="33">
        <f t="shared" si="2"/>
        <v>2534.8980312751096</v>
      </c>
    </row>
    <row r="7" spans="1:30" s="40" customFormat="1" x14ac:dyDescent="0.2">
      <c r="B7" s="41" t="s">
        <v>41</v>
      </c>
      <c r="E7" s="40">
        <v>11.113</v>
      </c>
      <c r="F7" s="40">
        <v>11.124000000000001</v>
      </c>
      <c r="G7" s="40">
        <v>10.891</v>
      </c>
      <c r="H7" s="40">
        <v>10.871</v>
      </c>
      <c r="I7" s="40">
        <v>11.558999999999999</v>
      </c>
      <c r="J7" s="40">
        <v>12.164999999999999</v>
      </c>
      <c r="K7" s="40">
        <v>13.839</v>
      </c>
      <c r="L7" s="40">
        <v>16.63</v>
      </c>
      <c r="M7" s="40">
        <v>17.170000000000002</v>
      </c>
      <c r="R7" s="40">
        <v>40.841000000000001</v>
      </c>
      <c r="S7" s="40">
        <f>+SUM(G7:J7)</f>
        <v>45.485999999999997</v>
      </c>
    </row>
    <row r="8" spans="1:30" s="40" customFormat="1" x14ac:dyDescent="0.2">
      <c r="B8" s="41" t="s">
        <v>42</v>
      </c>
      <c r="E8" s="40">
        <v>3.4510000000000001</v>
      </c>
      <c r="F8" s="40">
        <v>3.1139999999999999</v>
      </c>
      <c r="G8" s="40">
        <v>3.048</v>
      </c>
      <c r="H8" s="40">
        <v>3.8250000000000002</v>
      </c>
      <c r="I8" s="40">
        <v>3.5249999999999999</v>
      </c>
      <c r="J8" s="40">
        <v>3.8239999999999998</v>
      </c>
      <c r="K8" s="40">
        <v>4.9370000000000003</v>
      </c>
      <c r="L8" s="40">
        <v>4.74</v>
      </c>
      <c r="M8" s="40">
        <v>4.9550000000000001</v>
      </c>
      <c r="R8" s="40">
        <v>10.839</v>
      </c>
      <c r="S8" s="40">
        <f>+SUM(G8:J8)</f>
        <v>14.222</v>
      </c>
    </row>
    <row r="9" spans="1:30" s="3" customFormat="1" x14ac:dyDescent="0.2">
      <c r="B9" s="3" t="s">
        <v>43</v>
      </c>
      <c r="E9" s="3">
        <f t="shared" ref="E9:M9" si="3">+E7+E8</f>
        <v>14.564</v>
      </c>
      <c r="F9" s="3">
        <f t="shared" si="3"/>
        <v>14.238</v>
      </c>
      <c r="G9" s="3">
        <f t="shared" si="3"/>
        <v>13.939</v>
      </c>
      <c r="H9" s="3">
        <f t="shared" si="3"/>
        <v>14.696000000000002</v>
      </c>
      <c r="I9" s="3">
        <f t="shared" si="3"/>
        <v>15.084</v>
      </c>
      <c r="J9" s="3">
        <f t="shared" si="3"/>
        <v>15.988999999999999</v>
      </c>
      <c r="K9" s="3">
        <f t="shared" si="3"/>
        <v>18.776</v>
      </c>
      <c r="L9" s="3">
        <f t="shared" si="3"/>
        <v>21.369999999999997</v>
      </c>
      <c r="M9" s="3">
        <f t="shared" si="3"/>
        <v>22.125</v>
      </c>
      <c r="N9" s="3">
        <f t="shared" ref="N9" si="4">+N6*(1-N23)</f>
        <v>23.780710799999998</v>
      </c>
      <c r="R9" s="3">
        <f>+R7+R8</f>
        <v>51.68</v>
      </c>
      <c r="S9" s="3">
        <f>+S7+S8</f>
        <v>59.707999999999998</v>
      </c>
      <c r="T9" s="3">
        <f>+SUM(K9:N9)</f>
        <v>86.051710799999995</v>
      </c>
      <c r="U9" s="3">
        <f>+U6*(1-U23)</f>
        <v>109.25289803999999</v>
      </c>
      <c r="V9" s="3">
        <f t="shared" ref="V9:AB9" si="5">+V6*(1-V23)</f>
        <v>136.56612254999999</v>
      </c>
      <c r="W9" s="3">
        <f t="shared" si="5"/>
        <v>166.61066951099997</v>
      </c>
      <c r="X9" s="3">
        <f t="shared" si="5"/>
        <v>199.93280341319996</v>
      </c>
      <c r="Y9" s="3">
        <f t="shared" si="5"/>
        <v>229.92272392517995</v>
      </c>
      <c r="Z9" s="3">
        <f t="shared" si="5"/>
        <v>252.91499631769796</v>
      </c>
      <c r="AA9" s="3">
        <f t="shared" si="5"/>
        <v>265.56074613358288</v>
      </c>
      <c r="AB9" s="3">
        <f t="shared" si="5"/>
        <v>278.83878344026203</v>
      </c>
    </row>
    <row r="10" spans="1:30" s="33" customFormat="1" x14ac:dyDescent="0.2">
      <c r="B10" s="33" t="s">
        <v>44</v>
      </c>
      <c r="E10" s="33">
        <f t="shared" ref="E10:M10" si="6">+E6-E9</f>
        <v>98.417000000000002</v>
      </c>
      <c r="F10" s="33">
        <f t="shared" si="6"/>
        <v>108.66900000000001</v>
      </c>
      <c r="G10" s="33">
        <f t="shared" si="6"/>
        <v>112.93899999999999</v>
      </c>
      <c r="H10" s="33">
        <f t="shared" si="6"/>
        <v>124.88500000000002</v>
      </c>
      <c r="I10" s="33">
        <f t="shared" si="6"/>
        <v>134.584</v>
      </c>
      <c r="J10" s="33">
        <f t="shared" si="6"/>
        <v>147.79</v>
      </c>
      <c r="K10" s="33">
        <f t="shared" si="6"/>
        <v>150.411</v>
      </c>
      <c r="L10" s="33">
        <f t="shared" si="6"/>
        <v>161.214</v>
      </c>
      <c r="M10" s="33">
        <f t="shared" si="6"/>
        <v>173.922</v>
      </c>
      <c r="N10" s="33">
        <f t="shared" ref="N10" si="7">+N6-N9</f>
        <v>192.40756919999998</v>
      </c>
      <c r="R10" s="33">
        <f>+R6-R9</f>
        <v>372.65600000000001</v>
      </c>
      <c r="S10" s="33">
        <f>+S6-S9</f>
        <v>520.19799999999998</v>
      </c>
      <c r="T10" s="33">
        <f>+T6-T9</f>
        <v>677.95456919999992</v>
      </c>
      <c r="U10" s="33">
        <f t="shared" ref="U10:AB10" si="8">+U6-U9</f>
        <v>883.95526596000002</v>
      </c>
      <c r="V10" s="33">
        <f t="shared" si="8"/>
        <v>1104.94408245</v>
      </c>
      <c r="W10" s="33">
        <f t="shared" si="8"/>
        <v>1348.0317805889999</v>
      </c>
      <c r="X10" s="33">
        <f t="shared" si="8"/>
        <v>1617.6381367068</v>
      </c>
      <c r="Y10" s="33">
        <f t="shared" si="8"/>
        <v>1860.2838572128198</v>
      </c>
      <c r="Z10" s="33">
        <f t="shared" si="8"/>
        <v>2046.312242934102</v>
      </c>
      <c r="AA10" s="33">
        <f t="shared" si="8"/>
        <v>2148.627855080807</v>
      </c>
      <c r="AB10" s="33">
        <f t="shared" si="8"/>
        <v>2256.0592478348476</v>
      </c>
    </row>
    <row r="11" spans="1:30" s="3" customFormat="1" x14ac:dyDescent="0.2">
      <c r="B11" s="3" t="s">
        <v>46</v>
      </c>
      <c r="E11" s="3">
        <v>81.08</v>
      </c>
      <c r="F11" s="3">
        <v>81.513000000000005</v>
      </c>
      <c r="G11" s="3">
        <v>86.537000000000006</v>
      </c>
      <c r="H11" s="3">
        <v>92.116</v>
      </c>
      <c r="I11" s="3">
        <v>86.977999999999994</v>
      </c>
      <c r="J11" s="3">
        <v>90.762</v>
      </c>
      <c r="K11" s="3">
        <v>92.424000000000007</v>
      </c>
      <c r="L11" s="3">
        <v>97.778000000000006</v>
      </c>
      <c r="M11" s="3">
        <v>95.34</v>
      </c>
      <c r="N11" s="3">
        <v>102</v>
      </c>
      <c r="R11" s="3">
        <v>309.99200000000002</v>
      </c>
      <c r="S11" s="3">
        <f>+SUM(G11:J11)</f>
        <v>356.39300000000003</v>
      </c>
      <c r="T11" s="3">
        <f t="shared" ref="T11:T13" si="9">+SUM(K11:N11)</f>
        <v>387.54200000000003</v>
      </c>
      <c r="U11" s="3">
        <f>+T11+25</f>
        <v>412.54200000000003</v>
      </c>
      <c r="V11" s="3">
        <f t="shared" ref="V11:AB11" si="10">+U11+25</f>
        <v>437.54200000000003</v>
      </c>
      <c r="W11" s="3">
        <f t="shared" si="10"/>
        <v>462.54200000000003</v>
      </c>
      <c r="X11" s="3">
        <f t="shared" si="10"/>
        <v>487.54200000000003</v>
      </c>
      <c r="Y11" s="3">
        <f t="shared" si="10"/>
        <v>512.54200000000003</v>
      </c>
      <c r="Z11" s="3">
        <f t="shared" si="10"/>
        <v>537.54200000000003</v>
      </c>
      <c r="AA11" s="3">
        <f t="shared" si="10"/>
        <v>562.54200000000003</v>
      </c>
      <c r="AB11" s="3">
        <f t="shared" si="10"/>
        <v>587.54200000000003</v>
      </c>
    </row>
    <row r="12" spans="1:30" s="3" customFormat="1" x14ac:dyDescent="0.2">
      <c r="B12" s="3" t="s">
        <v>45</v>
      </c>
      <c r="E12" s="3">
        <v>41.113</v>
      </c>
      <c r="F12" s="3">
        <v>43.68</v>
      </c>
      <c r="G12" s="3">
        <v>50.387</v>
      </c>
      <c r="H12" s="3">
        <v>49.006999999999998</v>
      </c>
      <c r="I12" s="3">
        <v>49.058</v>
      </c>
      <c r="J12" s="3">
        <v>52.387999999999998</v>
      </c>
      <c r="K12" s="3">
        <v>54.14</v>
      </c>
      <c r="L12" s="3">
        <v>61.273000000000003</v>
      </c>
      <c r="M12" s="3">
        <v>61.353999999999999</v>
      </c>
      <c r="N12" s="3">
        <v>70</v>
      </c>
      <c r="R12" s="3">
        <v>156.143</v>
      </c>
      <c r="S12" s="3">
        <f>+SUM(G12:J12)</f>
        <v>200.84</v>
      </c>
      <c r="T12" s="3">
        <f t="shared" si="9"/>
        <v>246.767</v>
      </c>
      <c r="U12" s="3">
        <f>+U6*0.33</f>
        <v>327.75869412000003</v>
      </c>
      <c r="V12" s="3">
        <f t="shared" ref="V12:AB12" si="11">+V6*0.33</f>
        <v>409.69836765000002</v>
      </c>
      <c r="W12" s="3">
        <f t="shared" si="11"/>
        <v>499.83200853299996</v>
      </c>
      <c r="X12" s="3">
        <f t="shared" si="11"/>
        <v>599.7984102396</v>
      </c>
      <c r="Y12" s="3">
        <f t="shared" si="11"/>
        <v>689.76817177553994</v>
      </c>
      <c r="Z12" s="3">
        <f t="shared" si="11"/>
        <v>758.74498895309398</v>
      </c>
      <c r="AA12" s="3">
        <f t="shared" si="11"/>
        <v>796.6822384007487</v>
      </c>
      <c r="AB12" s="3">
        <f t="shared" si="11"/>
        <v>836.51635032078616</v>
      </c>
    </row>
    <row r="13" spans="1:30" s="3" customFormat="1" x14ac:dyDescent="0.2">
      <c r="B13" s="3" t="s">
        <v>47</v>
      </c>
      <c r="E13" s="3">
        <v>33.186</v>
      </c>
      <c r="F13" s="3">
        <v>29.75</v>
      </c>
      <c r="G13" s="3">
        <v>34.247999999999998</v>
      </c>
      <c r="H13" s="3">
        <v>37.819000000000003</v>
      </c>
      <c r="I13" s="3">
        <v>38.814999999999998</v>
      </c>
      <c r="J13" s="3">
        <v>39.523000000000003</v>
      </c>
      <c r="K13" s="3">
        <v>57.487000000000002</v>
      </c>
      <c r="L13" s="3">
        <v>43.167999999999999</v>
      </c>
      <c r="M13" s="3">
        <v>45.96</v>
      </c>
      <c r="N13" s="3">
        <v>46</v>
      </c>
      <c r="R13" s="3">
        <v>117.932</v>
      </c>
      <c r="S13" s="3">
        <f>+SUM(G13:J13)</f>
        <v>150.405</v>
      </c>
      <c r="T13" s="3">
        <f t="shared" si="9"/>
        <v>192.61500000000001</v>
      </c>
      <c r="U13" s="3">
        <f>+T13+35</f>
        <v>227.61500000000001</v>
      </c>
      <c r="V13" s="3">
        <f t="shared" ref="V13:AB13" si="12">+U13+35</f>
        <v>262.61500000000001</v>
      </c>
      <c r="W13" s="3">
        <f t="shared" si="12"/>
        <v>297.61500000000001</v>
      </c>
      <c r="X13" s="3">
        <f t="shared" si="12"/>
        <v>332.61500000000001</v>
      </c>
      <c r="Y13" s="3">
        <f t="shared" si="12"/>
        <v>367.61500000000001</v>
      </c>
      <c r="Z13" s="3">
        <f t="shared" si="12"/>
        <v>402.61500000000001</v>
      </c>
      <c r="AA13" s="3">
        <f t="shared" si="12"/>
        <v>437.61500000000001</v>
      </c>
      <c r="AB13" s="3">
        <f t="shared" si="12"/>
        <v>472.61500000000001</v>
      </c>
    </row>
    <row r="14" spans="1:30" s="33" customFormat="1" x14ac:dyDescent="0.2">
      <c r="B14" s="33" t="s">
        <v>48</v>
      </c>
      <c r="E14" s="33">
        <f t="shared" ref="E14:M14" si="13">+E10-SUM(E11:E13)</f>
        <v>-56.961999999999989</v>
      </c>
      <c r="F14" s="33">
        <f t="shared" si="13"/>
        <v>-46.274000000000001</v>
      </c>
      <c r="G14" s="33">
        <f t="shared" si="13"/>
        <v>-58.233000000000004</v>
      </c>
      <c r="H14" s="33">
        <f t="shared" si="13"/>
        <v>-54.056999999999988</v>
      </c>
      <c r="I14" s="33">
        <f t="shared" si="13"/>
        <v>-40.266999999999996</v>
      </c>
      <c r="J14" s="33">
        <f t="shared" si="13"/>
        <v>-34.88300000000001</v>
      </c>
      <c r="K14" s="33">
        <f t="shared" si="13"/>
        <v>-53.640000000000015</v>
      </c>
      <c r="L14" s="33">
        <f t="shared" si="13"/>
        <v>-41.005000000000024</v>
      </c>
      <c r="M14" s="33">
        <f t="shared" si="13"/>
        <v>-28.732000000000028</v>
      </c>
      <c r="N14" s="33">
        <f t="shared" ref="N14" si="14">+N10-SUM(N11:N13)</f>
        <v>-25.592430800000017</v>
      </c>
      <c r="R14" s="33">
        <f>+R10-SUM(R11:R13)</f>
        <v>-211.411</v>
      </c>
      <c r="S14" s="33">
        <f>+S10-SUM(S11:S13)</f>
        <v>-187.44000000000005</v>
      </c>
      <c r="T14" s="33">
        <f>+T10-SUM(T11:T13)</f>
        <v>-148.96943080000005</v>
      </c>
      <c r="U14" s="33">
        <f t="shared" ref="U14:AB14" si="15">+U10-SUM(U11:U13)</f>
        <v>-83.960428160000106</v>
      </c>
      <c r="V14" s="33">
        <f t="shared" si="15"/>
        <v>-4.9112852000000657</v>
      </c>
      <c r="W14" s="33">
        <f t="shared" si="15"/>
        <v>88.042772055999876</v>
      </c>
      <c r="X14" s="33">
        <f t="shared" si="15"/>
        <v>197.68272646719993</v>
      </c>
      <c r="Y14" s="33">
        <f t="shared" si="15"/>
        <v>290.35868543727997</v>
      </c>
      <c r="Z14" s="33">
        <f t="shared" si="15"/>
        <v>347.41025398100805</v>
      </c>
      <c r="AA14" s="33">
        <f t="shared" si="15"/>
        <v>351.78861668005834</v>
      </c>
      <c r="AB14" s="33">
        <f t="shared" si="15"/>
        <v>359.3858975140613</v>
      </c>
    </row>
    <row r="15" spans="1:30" s="3" customFormat="1" x14ac:dyDescent="0.2">
      <c r="B15" s="3" t="s">
        <v>49</v>
      </c>
      <c r="E15" s="3">
        <v>4.657</v>
      </c>
      <c r="F15" s="3">
        <v>6.2489999999999997</v>
      </c>
      <c r="G15" s="3">
        <v>7.3150000000000004</v>
      </c>
      <c r="H15" s="3">
        <v>9.1120000000000001</v>
      </c>
      <c r="I15" s="3">
        <v>10.874000000000001</v>
      </c>
      <c r="J15" s="3">
        <v>11.813000000000001</v>
      </c>
      <c r="K15" s="3">
        <v>12.303000000000001</v>
      </c>
      <c r="L15" s="3">
        <v>12.827</v>
      </c>
      <c r="M15" s="3">
        <v>12.586</v>
      </c>
      <c r="N15" s="3">
        <f t="shared" ref="N15:N16" si="16">+AVERAGE(H15:M15)</f>
        <v>11.585833333333333</v>
      </c>
      <c r="R15" s="3">
        <v>14.496</v>
      </c>
      <c r="S15" s="3">
        <f>+SUM(G15:J15)</f>
        <v>39.114000000000004</v>
      </c>
      <c r="T15" s="3">
        <f>+SUM(K15:N15)</f>
        <v>49.301833333333335</v>
      </c>
      <c r="U15" s="3">
        <v>10</v>
      </c>
      <c r="V15" s="3">
        <v>-10</v>
      </c>
      <c r="W15" s="3">
        <v>5</v>
      </c>
      <c r="X15" s="3">
        <v>-5</v>
      </c>
      <c r="Y15" s="3">
        <v>1</v>
      </c>
      <c r="Z15" s="3">
        <v>2</v>
      </c>
      <c r="AA15" s="3">
        <v>1</v>
      </c>
      <c r="AB15" s="3">
        <v>2</v>
      </c>
    </row>
    <row r="16" spans="1:30" s="3" customFormat="1" x14ac:dyDescent="0.2">
      <c r="B16" s="3" t="s">
        <v>50</v>
      </c>
      <c r="E16" s="3">
        <f>2.661-0.756</f>
        <v>1.905</v>
      </c>
      <c r="F16" s="3">
        <f>-1.024-0.693</f>
        <v>-1.7170000000000001</v>
      </c>
      <c r="G16" s="3">
        <f>-0.748-1.486</f>
        <v>-2.234</v>
      </c>
      <c r="H16" s="3">
        <f>-1.33-0.917</f>
        <v>-2.2469999999999999</v>
      </c>
      <c r="I16" s="3">
        <f>0.569-0.743</f>
        <v>-0.17400000000000004</v>
      </c>
      <c r="J16" s="3">
        <f>-11.318-1.416</f>
        <v>-12.734</v>
      </c>
      <c r="K16" s="3">
        <v>-0.56699999999999995</v>
      </c>
      <c r="L16" s="3">
        <v>1.032</v>
      </c>
      <c r="M16" s="3">
        <v>4.992</v>
      </c>
      <c r="N16" s="3">
        <f>+AVERAGE(K16:M16)</f>
        <v>1.819</v>
      </c>
      <c r="R16" s="3">
        <f>21.585-2.468</f>
        <v>19.117000000000001</v>
      </c>
      <c r="S16" s="3">
        <f>+SUM(G16:J16)</f>
        <v>-17.388999999999999</v>
      </c>
      <c r="T16" s="3">
        <f>+SUM(K16:N16)</f>
        <v>7.2759999999999998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</row>
    <row r="17" spans="2:98" s="3" customFormat="1" x14ac:dyDescent="0.2">
      <c r="B17" s="3" t="s">
        <v>51</v>
      </c>
      <c r="E17" s="3">
        <f t="shared" ref="E17:M17" si="17">+E14+E15+E16</f>
        <v>-50.399999999999991</v>
      </c>
      <c r="F17" s="3">
        <f t="shared" si="17"/>
        <v>-41.741999999999997</v>
      </c>
      <c r="G17" s="3">
        <f t="shared" si="17"/>
        <v>-53.152000000000008</v>
      </c>
      <c r="H17" s="3">
        <f t="shared" si="17"/>
        <v>-47.191999999999986</v>
      </c>
      <c r="I17" s="3">
        <f t="shared" si="17"/>
        <v>-29.566999999999993</v>
      </c>
      <c r="J17" s="3">
        <f t="shared" si="17"/>
        <v>-35.804000000000009</v>
      </c>
      <c r="K17" s="3">
        <f t="shared" si="17"/>
        <v>-41.904000000000018</v>
      </c>
      <c r="L17" s="3">
        <f t="shared" si="17"/>
        <v>-27.146000000000026</v>
      </c>
      <c r="M17" s="3">
        <f t="shared" si="17"/>
        <v>-11.154000000000028</v>
      </c>
      <c r="N17" s="3">
        <f t="shared" ref="N17" si="18">+N14+N15+N16</f>
        <v>-12.187597466666684</v>
      </c>
      <c r="R17" s="3">
        <f>+R14+R15+R16</f>
        <v>-177.798</v>
      </c>
      <c r="S17" s="3">
        <f>+S14+S15+S16</f>
        <v>-165.71500000000006</v>
      </c>
      <c r="T17" s="3">
        <f>+T14+T15+T16</f>
        <v>-92.391597466666724</v>
      </c>
      <c r="U17" s="3">
        <f t="shared" ref="U17:AB17" si="19">+U14+U15+U16</f>
        <v>-73.960428160000106</v>
      </c>
      <c r="V17" s="3">
        <f t="shared" si="19"/>
        <v>-14.911285200000066</v>
      </c>
      <c r="W17" s="3">
        <f t="shared" si="19"/>
        <v>93.042772055999876</v>
      </c>
      <c r="X17" s="3">
        <f t="shared" si="19"/>
        <v>192.68272646719993</v>
      </c>
      <c r="Y17" s="3">
        <f t="shared" si="19"/>
        <v>291.35868543727997</v>
      </c>
      <c r="Z17" s="3">
        <f t="shared" si="19"/>
        <v>349.41025398100805</v>
      </c>
      <c r="AA17" s="3">
        <f t="shared" si="19"/>
        <v>352.78861668005834</v>
      </c>
      <c r="AB17" s="3">
        <f t="shared" si="19"/>
        <v>361.3858975140613</v>
      </c>
    </row>
    <row r="18" spans="2:98" s="3" customFormat="1" x14ac:dyDescent="0.2">
      <c r="B18" s="3" t="s">
        <v>52</v>
      </c>
      <c r="E18" s="3">
        <v>-6.5000000000000002E-2</v>
      </c>
      <c r="F18" s="3">
        <v>-0.379</v>
      </c>
      <c r="G18" s="3">
        <v>-1.486</v>
      </c>
      <c r="H18" s="3">
        <v>-4.016</v>
      </c>
      <c r="I18" s="3">
        <v>-256.78800000000001</v>
      </c>
      <c r="J18" s="3">
        <v>-1.7669999999999999</v>
      </c>
      <c r="K18" s="3">
        <v>-12.71</v>
      </c>
      <c r="L18" s="3">
        <v>39.42</v>
      </c>
      <c r="M18" s="3">
        <v>39.420999999999999</v>
      </c>
      <c r="N18" s="3">
        <v>30</v>
      </c>
      <c r="R18" s="3">
        <v>-2.8980000000000001</v>
      </c>
      <c r="S18" s="3">
        <f>+SUM(G18:J18)</f>
        <v>-264.05700000000002</v>
      </c>
      <c r="T18" s="3">
        <f>+SUM(K18:N18)</f>
        <v>96.131</v>
      </c>
      <c r="U18" s="3">
        <f>-(+U17*U26)</f>
        <v>1.479208563200002</v>
      </c>
      <c r="V18" s="3">
        <f>-(+V17*V26)</f>
        <v>1.4911285200000066</v>
      </c>
      <c r="W18" s="3">
        <f>-(+W17*W26)</f>
        <v>-18.608554411199975</v>
      </c>
      <c r="X18" s="3">
        <f t="shared" ref="X18:AB18" si="20">-(+X17*X26)</f>
        <v>-38.536545293439985</v>
      </c>
      <c r="Y18" s="3">
        <f t="shared" si="20"/>
        <v>-58.271737087455996</v>
      </c>
      <c r="Z18" s="3">
        <f t="shared" si="20"/>
        <v>-69.882050796201611</v>
      </c>
      <c r="AA18" s="3">
        <f t="shared" si="20"/>
        <v>-70.557723336011676</v>
      </c>
      <c r="AB18" s="3">
        <f t="shared" si="20"/>
        <v>-72.27717950281226</v>
      </c>
    </row>
    <row r="19" spans="2:98" s="33" customFormat="1" x14ac:dyDescent="0.2">
      <c r="B19" s="33" t="s">
        <v>53</v>
      </c>
      <c r="E19" s="33">
        <f t="shared" ref="E19:M19" si="21">+E17+E18</f>
        <v>-50.464999999999989</v>
      </c>
      <c r="F19" s="33">
        <f t="shared" si="21"/>
        <v>-42.120999999999995</v>
      </c>
      <c r="G19" s="33">
        <f t="shared" si="21"/>
        <v>-54.638000000000005</v>
      </c>
      <c r="H19" s="33">
        <f t="shared" si="21"/>
        <v>-51.207999999999984</v>
      </c>
      <c r="I19" s="33">
        <f t="shared" si="21"/>
        <v>-286.35500000000002</v>
      </c>
      <c r="J19" s="33">
        <f t="shared" si="21"/>
        <v>-37.571000000000012</v>
      </c>
      <c r="K19" s="33">
        <f t="shared" si="21"/>
        <v>-54.614000000000019</v>
      </c>
      <c r="L19" s="33">
        <f t="shared" si="21"/>
        <v>12.273999999999976</v>
      </c>
      <c r="M19" s="33">
        <f t="shared" si="21"/>
        <v>28.266999999999971</v>
      </c>
      <c r="N19" s="33">
        <f t="shared" ref="N19" si="22">+N17+N18</f>
        <v>17.812402533333316</v>
      </c>
      <c r="R19" s="33">
        <f>+R17+R18</f>
        <v>-180.696</v>
      </c>
      <c r="S19" s="33">
        <f>+S17+S18</f>
        <v>-429.77200000000005</v>
      </c>
      <c r="T19" s="33">
        <f>+T17+T18</f>
        <v>3.7394025333332763</v>
      </c>
      <c r="U19" s="33">
        <f t="shared" ref="U19:AB19" si="23">+U17+U18</f>
        <v>-72.481219596800102</v>
      </c>
      <c r="V19" s="33">
        <f t="shared" si="23"/>
        <v>-13.420156680000058</v>
      </c>
      <c r="W19" s="33">
        <f t="shared" si="23"/>
        <v>74.434217644799901</v>
      </c>
      <c r="X19" s="33">
        <f t="shared" si="23"/>
        <v>154.14618117375994</v>
      </c>
      <c r="Y19" s="33">
        <f t="shared" si="23"/>
        <v>233.08694834982398</v>
      </c>
      <c r="Z19" s="33">
        <f t="shared" si="23"/>
        <v>279.52820318480644</v>
      </c>
      <c r="AA19" s="33">
        <f t="shared" si="23"/>
        <v>282.23089334404665</v>
      </c>
      <c r="AB19" s="33">
        <f t="shared" si="23"/>
        <v>289.10871801124904</v>
      </c>
      <c r="AC19" s="33">
        <f>+AB19*(1+$AE$31)</f>
        <v>294.89089237147402</v>
      </c>
      <c r="AD19" s="33">
        <f t="shared" ref="AD19:CO19" si="24">+AC19*(1+$AE$31)</f>
        <v>300.78871021890353</v>
      </c>
      <c r="AE19" s="33">
        <f t="shared" si="24"/>
        <v>306.80448442328162</v>
      </c>
      <c r="AF19" s="33">
        <f t="shared" si="24"/>
        <v>312.94057411174725</v>
      </c>
      <c r="AG19" s="33">
        <f t="shared" si="24"/>
        <v>319.19938559398219</v>
      </c>
      <c r="AH19" s="33">
        <f t="shared" si="24"/>
        <v>325.58337330586181</v>
      </c>
      <c r="AI19" s="33">
        <f t="shared" si="24"/>
        <v>332.09504077197903</v>
      </c>
      <c r="AJ19" s="33">
        <f t="shared" si="24"/>
        <v>338.73694158741864</v>
      </c>
      <c r="AK19" s="33">
        <f t="shared" si="24"/>
        <v>345.51168041916702</v>
      </c>
      <c r="AL19" s="33">
        <f t="shared" si="24"/>
        <v>352.42191402755037</v>
      </c>
      <c r="AM19" s="33">
        <f t="shared" si="24"/>
        <v>359.47035230810138</v>
      </c>
      <c r="AN19" s="33">
        <f t="shared" si="24"/>
        <v>366.65975935426343</v>
      </c>
      <c r="AO19" s="33">
        <f t="shared" si="24"/>
        <v>373.99295454134869</v>
      </c>
      <c r="AP19" s="33">
        <f t="shared" si="24"/>
        <v>381.4728136321757</v>
      </c>
      <c r="AQ19" s="33">
        <f t="shared" si="24"/>
        <v>389.1022699048192</v>
      </c>
      <c r="AR19" s="33">
        <f t="shared" si="24"/>
        <v>396.88431530291558</v>
      </c>
      <c r="AS19" s="33">
        <f t="shared" si="24"/>
        <v>404.82200160897389</v>
      </c>
      <c r="AT19" s="33">
        <f t="shared" si="24"/>
        <v>412.91844164115338</v>
      </c>
      <c r="AU19" s="33">
        <f t="shared" si="24"/>
        <v>421.17681047397645</v>
      </c>
      <c r="AV19" s="33">
        <f t="shared" si="24"/>
        <v>429.600346683456</v>
      </c>
      <c r="AW19" s="33">
        <f t="shared" si="24"/>
        <v>438.19235361712515</v>
      </c>
      <c r="AX19" s="33">
        <f t="shared" si="24"/>
        <v>446.95620068946766</v>
      </c>
      <c r="AY19" s="33">
        <f t="shared" si="24"/>
        <v>455.89532470325702</v>
      </c>
      <c r="AZ19" s="33">
        <f t="shared" si="24"/>
        <v>465.01323119732217</v>
      </c>
      <c r="BA19" s="33">
        <f t="shared" si="24"/>
        <v>474.31349582126865</v>
      </c>
      <c r="BB19" s="33">
        <f t="shared" si="24"/>
        <v>483.79976573769403</v>
      </c>
      <c r="BC19" s="33">
        <f t="shared" si="24"/>
        <v>493.47576105244792</v>
      </c>
      <c r="BD19" s="33">
        <f t="shared" si="24"/>
        <v>503.34527627349689</v>
      </c>
      <c r="BE19" s="33">
        <f t="shared" si="24"/>
        <v>513.4121817989668</v>
      </c>
      <c r="BF19" s="33">
        <f t="shared" si="24"/>
        <v>523.68042543494619</v>
      </c>
      <c r="BG19" s="33">
        <f t="shared" si="24"/>
        <v>534.15403394364512</v>
      </c>
      <c r="BH19" s="33">
        <f t="shared" si="24"/>
        <v>544.83711462251802</v>
      </c>
      <c r="BI19" s="33">
        <f t="shared" si="24"/>
        <v>555.73385691496844</v>
      </c>
      <c r="BJ19" s="33">
        <f t="shared" si="24"/>
        <v>566.84853405326783</v>
      </c>
      <c r="BK19" s="33">
        <f t="shared" si="24"/>
        <v>578.18550473433322</v>
      </c>
      <c r="BL19" s="33">
        <f t="shared" si="24"/>
        <v>589.74921482901993</v>
      </c>
      <c r="BM19" s="33">
        <f t="shared" si="24"/>
        <v>601.54419912560036</v>
      </c>
      <c r="BN19" s="33">
        <f t="shared" si="24"/>
        <v>613.57508310811238</v>
      </c>
      <c r="BO19" s="33">
        <f t="shared" si="24"/>
        <v>625.8465847702746</v>
      </c>
      <c r="BP19" s="33">
        <f t="shared" si="24"/>
        <v>638.36351646568005</v>
      </c>
      <c r="BQ19" s="33">
        <f t="shared" si="24"/>
        <v>651.1307867949937</v>
      </c>
      <c r="BR19" s="33">
        <f t="shared" si="24"/>
        <v>664.15340253089357</v>
      </c>
      <c r="BS19" s="33">
        <f t="shared" si="24"/>
        <v>677.43647058151146</v>
      </c>
      <c r="BT19" s="33">
        <f t="shared" si="24"/>
        <v>690.98519999314169</v>
      </c>
      <c r="BU19" s="33">
        <f t="shared" si="24"/>
        <v>704.80490399300459</v>
      </c>
      <c r="BV19" s="33">
        <f t="shared" si="24"/>
        <v>718.90100207286469</v>
      </c>
      <c r="BW19" s="33">
        <f t="shared" si="24"/>
        <v>733.27902211432195</v>
      </c>
      <c r="BX19" s="33">
        <f t="shared" si="24"/>
        <v>747.9446025566084</v>
      </c>
      <c r="BY19" s="33">
        <f t="shared" si="24"/>
        <v>762.90349460774053</v>
      </c>
      <c r="BZ19" s="33">
        <f t="shared" si="24"/>
        <v>778.16156449989535</v>
      </c>
      <c r="CA19" s="33">
        <f t="shared" si="24"/>
        <v>793.72479578989328</v>
      </c>
      <c r="CB19" s="33">
        <f t="shared" si="24"/>
        <v>809.59929170569114</v>
      </c>
      <c r="CC19" s="33">
        <f t="shared" si="24"/>
        <v>825.79127753980504</v>
      </c>
      <c r="CD19" s="33">
        <f t="shared" si="24"/>
        <v>842.30710309060112</v>
      </c>
      <c r="CE19" s="33">
        <f t="shared" si="24"/>
        <v>859.15324515241321</v>
      </c>
      <c r="CF19" s="33">
        <f t="shared" si="24"/>
        <v>876.33631005546147</v>
      </c>
      <c r="CG19" s="33">
        <f t="shared" si="24"/>
        <v>893.86303625657069</v>
      </c>
      <c r="CH19" s="33">
        <f t="shared" si="24"/>
        <v>911.74029698170216</v>
      </c>
      <c r="CI19" s="33">
        <f t="shared" si="24"/>
        <v>929.9751029213362</v>
      </c>
      <c r="CJ19" s="33">
        <f t="shared" si="24"/>
        <v>948.57460497976297</v>
      </c>
      <c r="CK19" s="33">
        <f t="shared" si="24"/>
        <v>967.54609707935822</v>
      </c>
      <c r="CL19" s="33">
        <f t="shared" si="24"/>
        <v>986.89701902094544</v>
      </c>
      <c r="CM19" s="33">
        <f t="shared" si="24"/>
        <v>1006.6349594013643</v>
      </c>
      <c r="CN19" s="33">
        <f t="shared" si="24"/>
        <v>1026.7676585893917</v>
      </c>
      <c r="CO19" s="33">
        <f t="shared" si="24"/>
        <v>1047.3030117611795</v>
      </c>
      <c r="CP19" s="33">
        <f t="shared" ref="CP19:CT19" si="25">+CO19*(1+$AE$31)</f>
        <v>1068.249071996403</v>
      </c>
      <c r="CQ19" s="33">
        <f t="shared" si="25"/>
        <v>1089.614053436331</v>
      </c>
      <c r="CR19" s="33">
        <f t="shared" si="25"/>
        <v>1111.4063345050577</v>
      </c>
      <c r="CS19" s="33">
        <f t="shared" si="25"/>
        <v>1133.6344611951588</v>
      </c>
      <c r="CT19" s="33">
        <f t="shared" si="25"/>
        <v>1156.3071504190621</v>
      </c>
    </row>
    <row r="20" spans="2:98" s="27" customFormat="1" x14ac:dyDescent="0.2">
      <c r="B20" s="27" t="s">
        <v>54</v>
      </c>
      <c r="E20" s="27">
        <f t="shared" ref="E20:M20" si="26">+E19/E21</f>
        <v>-0.33895743637621478</v>
      </c>
      <c r="F20" s="27">
        <f t="shared" si="26"/>
        <v>-0.28055790532394603</v>
      </c>
      <c r="G20" s="27">
        <f t="shared" si="26"/>
        <v>-0.36019038578171558</v>
      </c>
      <c r="H20" s="27">
        <f t="shared" si="26"/>
        <v>-0.3332899429850823</v>
      </c>
      <c r="I20" s="27">
        <f t="shared" si="26"/>
        <v>-1.8459867331085658</v>
      </c>
      <c r="J20" s="27">
        <f t="shared" si="26"/>
        <v>-0.23991545392430452</v>
      </c>
      <c r="K20" s="27">
        <f t="shared" si="26"/>
        <v>-0.34531509828840973</v>
      </c>
      <c r="L20" s="27">
        <f t="shared" si="26"/>
        <v>7.6867676622180886E-2</v>
      </c>
      <c r="M20" s="27">
        <f t="shared" si="26"/>
        <v>0.17522641755053694</v>
      </c>
      <c r="N20" s="27">
        <f t="shared" ref="N20" si="27">+N19/N21</f>
        <v>0.11041863246485686</v>
      </c>
      <c r="R20" s="27">
        <f>+R19/R21</f>
        <v>-1.2175705997695525</v>
      </c>
      <c r="S20" s="27">
        <f>+S19/S21</f>
        <v>-2.744375834126219</v>
      </c>
      <c r="T20" s="27">
        <f>+SUM(K20:N20)</f>
        <v>1.7197628349164995E-2</v>
      </c>
      <c r="U20" s="27">
        <f t="shared" ref="U20:AB20" si="28">+U19/U21</f>
        <v>-0.44930924575091341</v>
      </c>
      <c r="V20" s="27">
        <f t="shared" si="28"/>
        <v>-8.3191211589603437E-2</v>
      </c>
      <c r="W20" s="27">
        <f t="shared" si="28"/>
        <v>0.46141583121927571</v>
      </c>
      <c r="X20" s="27">
        <f t="shared" si="28"/>
        <v>0.95554827559252864</v>
      </c>
      <c r="Y20" s="27">
        <f t="shared" si="28"/>
        <v>1.4449000932934779</v>
      </c>
      <c r="Z20" s="27">
        <f t="shared" si="28"/>
        <v>1.7327882565681636</v>
      </c>
      <c r="AA20" s="27">
        <f t="shared" si="28"/>
        <v>1.7495421644590876</v>
      </c>
      <c r="AB20" s="27">
        <f t="shared" si="28"/>
        <v>1.7921776254904878</v>
      </c>
    </row>
    <row r="21" spans="2:98" s="28" customFormat="1" x14ac:dyDescent="0.2">
      <c r="B21" s="28" t="s">
        <v>4</v>
      </c>
      <c r="E21" s="28">
        <v>148.88300000000001</v>
      </c>
      <c r="F21" s="28">
        <v>150.13300000000001</v>
      </c>
      <c r="G21" s="28">
        <v>151.69200000000001</v>
      </c>
      <c r="H21" s="28">
        <v>153.64400000000001</v>
      </c>
      <c r="I21" s="28">
        <v>155.12299999999999</v>
      </c>
      <c r="J21" s="28">
        <v>156.601</v>
      </c>
      <c r="K21" s="28">
        <v>158.15700000000001</v>
      </c>
      <c r="L21" s="28">
        <v>159.67699999999999</v>
      </c>
      <c r="M21" s="28">
        <v>161.31700000000001</v>
      </c>
      <c r="N21" s="28">
        <f t="shared" ref="N21" si="29">+M21</f>
        <v>161.31700000000001</v>
      </c>
      <c r="R21" s="28">
        <v>148.40700000000001</v>
      </c>
      <c r="S21" s="28">
        <f>+J21</f>
        <v>156.601</v>
      </c>
      <c r="T21" s="28">
        <f>+N21</f>
        <v>161.31700000000001</v>
      </c>
      <c r="U21" s="28">
        <f>+T21</f>
        <v>161.31700000000001</v>
      </c>
      <c r="V21" s="28">
        <f t="shared" ref="V21:AB21" si="30">+U21</f>
        <v>161.31700000000001</v>
      </c>
      <c r="W21" s="28">
        <f t="shared" si="30"/>
        <v>161.31700000000001</v>
      </c>
      <c r="X21" s="28">
        <f t="shared" si="30"/>
        <v>161.31700000000001</v>
      </c>
      <c r="Y21" s="28">
        <f t="shared" si="30"/>
        <v>161.31700000000001</v>
      </c>
      <c r="Z21" s="28">
        <f t="shared" si="30"/>
        <v>161.31700000000001</v>
      </c>
      <c r="AA21" s="28">
        <f t="shared" si="30"/>
        <v>161.31700000000001</v>
      </c>
      <c r="AB21" s="28">
        <f t="shared" si="30"/>
        <v>161.31700000000001</v>
      </c>
    </row>
    <row r="23" spans="2:98" s="31" customFormat="1" x14ac:dyDescent="0.2">
      <c r="B23" s="31" t="s">
        <v>55</v>
      </c>
      <c r="E23" s="31">
        <f t="shared" ref="E23:L23" si="31">E10/E6</f>
        <v>0.87109336968162798</v>
      </c>
      <c r="F23" s="31">
        <f t="shared" si="31"/>
        <v>0.88415631331006372</v>
      </c>
      <c r="G23" s="31">
        <f t="shared" si="31"/>
        <v>0.89013855830009925</v>
      </c>
      <c r="H23" s="31">
        <f t="shared" si="31"/>
        <v>0.89471346386685868</v>
      </c>
      <c r="I23" s="31">
        <f t="shared" si="31"/>
        <v>0.89921693347943443</v>
      </c>
      <c r="J23" s="31">
        <f t="shared" si="31"/>
        <v>0.90237454130260897</v>
      </c>
      <c r="K23" s="31">
        <f t="shared" si="31"/>
        <v>0.88902220619787564</v>
      </c>
      <c r="L23" s="31">
        <f t="shared" si="31"/>
        <v>0.88295798098409495</v>
      </c>
      <c r="M23" s="31">
        <f t="shared" ref="M23" si="32">M10/M6</f>
        <v>0.88714440924880256</v>
      </c>
      <c r="N23" s="31">
        <v>0.89</v>
      </c>
      <c r="R23" s="31">
        <f>R10/R6</f>
        <v>0.87820972059877078</v>
      </c>
      <c r="S23" s="31">
        <f>S10/S6</f>
        <v>0.89703848554765775</v>
      </c>
      <c r="T23" s="31">
        <f>T10/T6</f>
        <v>0.88736779650554698</v>
      </c>
      <c r="U23" s="31">
        <v>0.89</v>
      </c>
      <c r="V23" s="31">
        <v>0.89</v>
      </c>
      <c r="W23" s="31">
        <v>0.89</v>
      </c>
      <c r="X23" s="31">
        <v>0.89</v>
      </c>
      <c r="Y23" s="31">
        <v>0.89</v>
      </c>
      <c r="Z23" s="31">
        <v>0.89</v>
      </c>
      <c r="AA23" s="31">
        <v>0.89</v>
      </c>
      <c r="AB23" s="31">
        <v>0.89</v>
      </c>
    </row>
    <row r="24" spans="2:98" s="31" customFormat="1" x14ac:dyDescent="0.2">
      <c r="B24" s="31" t="s">
        <v>56</v>
      </c>
      <c r="E24" s="31">
        <f t="shared" ref="E24:M24" si="33">E14/E6</f>
        <v>-0.50417326807162255</v>
      </c>
      <c r="F24" s="31">
        <f t="shared" si="33"/>
        <v>-0.37649604985883633</v>
      </c>
      <c r="G24" s="31">
        <f t="shared" si="33"/>
        <v>-0.45896845788868051</v>
      </c>
      <c r="H24" s="31">
        <f t="shared" si="33"/>
        <v>-0.3872805037934961</v>
      </c>
      <c r="I24" s="31">
        <f t="shared" si="33"/>
        <v>-0.26904214661784748</v>
      </c>
      <c r="J24" s="31">
        <f t="shared" si="33"/>
        <v>-0.21298823414479273</v>
      </c>
      <c r="K24" s="31">
        <f t="shared" si="33"/>
        <v>-0.31704563589401086</v>
      </c>
      <c r="L24" s="31">
        <f t="shared" si="33"/>
        <v>-0.22458156245892313</v>
      </c>
      <c r="M24" s="31">
        <f t="shared" ref="M24" si="34">M14/M6</f>
        <v>-0.14655669303789412</v>
      </c>
      <c r="N24" s="31">
        <f t="shared" ref="N24" si="35">N14/N6</f>
        <v>-0.11838028777508205</v>
      </c>
      <c r="R24" s="31">
        <f>R14/R6</f>
        <v>-0.49821603634855394</v>
      </c>
      <c r="S24" s="31">
        <f>S14/S6</f>
        <v>-0.32322479850182628</v>
      </c>
      <c r="T24" s="31">
        <f>T14/T6</f>
        <v>-0.19498456321589408</v>
      </c>
      <c r="U24" s="31">
        <f t="shared" ref="U24:AB24" si="36">U14/U6</f>
        <v>-8.4534573116940376E-2</v>
      </c>
      <c r="V24" s="31">
        <f t="shared" si="36"/>
        <v>-3.95589595657014E-3</v>
      </c>
      <c r="W24" s="31">
        <f t="shared" si="36"/>
        <v>5.812775949214094E-2</v>
      </c>
      <c r="X24" s="31">
        <f t="shared" si="36"/>
        <v>0.1087620417468539</v>
      </c>
      <c r="Y24" s="31">
        <f t="shared" si="36"/>
        <v>0.13891387007268727</v>
      </c>
      <c r="Z24" s="31">
        <f t="shared" si="36"/>
        <v>0.15109870309907258</v>
      </c>
      <c r="AA24" s="31">
        <f t="shared" si="36"/>
        <v>0.14571712272317949</v>
      </c>
      <c r="AB24" s="31">
        <f t="shared" si="36"/>
        <v>0.14177528763682942</v>
      </c>
    </row>
    <row r="25" spans="2:98" s="31" customFormat="1" x14ac:dyDescent="0.2">
      <c r="B25" s="31" t="s">
        <v>57</v>
      </c>
      <c r="E25" s="31">
        <f t="shared" ref="E25:M25" si="37">E19/E6</f>
        <v>-0.44666802382701509</v>
      </c>
      <c r="F25" s="31">
        <f t="shared" si="37"/>
        <v>-0.34270627384933317</v>
      </c>
      <c r="G25" s="31">
        <f t="shared" si="37"/>
        <v>-0.43063415249294601</v>
      </c>
      <c r="H25" s="31">
        <f t="shared" si="37"/>
        <v>-0.36686941632457126</v>
      </c>
      <c r="I25" s="31">
        <f t="shared" si="37"/>
        <v>-1.9132680332469199</v>
      </c>
      <c r="J25" s="31">
        <f t="shared" si="37"/>
        <v>-0.22940059470383878</v>
      </c>
      <c r="K25" s="31">
        <f t="shared" si="37"/>
        <v>-0.32280257939439799</v>
      </c>
      <c r="L25" s="31">
        <f t="shared" si="37"/>
        <v>6.7223853130613728E-2</v>
      </c>
      <c r="M25" s="31">
        <f t="shared" ref="M25" si="38">M19/M6</f>
        <v>0.14418481282549578</v>
      </c>
      <c r="N25" s="31">
        <f t="shared" ref="N25" si="39">N19/N6</f>
        <v>8.2393007305175459E-2</v>
      </c>
      <c r="R25" s="31">
        <f>R19/R6</f>
        <v>-0.42583235926247121</v>
      </c>
      <c r="S25" s="31">
        <f>S19/S6</f>
        <v>-0.74110631723072373</v>
      </c>
      <c r="T25" s="31">
        <f>T19/T6</f>
        <v>4.8944657016867406E-3</v>
      </c>
      <c r="U25" s="31">
        <f t="shared" ref="U25:AB25" si="40">U19/U6</f>
        <v>-7.2976866505902085E-2</v>
      </c>
      <c r="V25" s="31">
        <f t="shared" si="40"/>
        <v>-1.0809541980365807E-2</v>
      </c>
      <c r="W25" s="31">
        <f t="shared" si="40"/>
        <v>4.9143094886773833E-2</v>
      </c>
      <c r="X25" s="31">
        <f t="shared" si="40"/>
        <v>8.4808893986598882E-2</v>
      </c>
      <c r="Y25" s="31">
        <f t="shared" si="40"/>
        <v>0.11151383334699926</v>
      </c>
      <c r="Z25" s="31">
        <f t="shared" si="40"/>
        <v>0.12157484845898432</v>
      </c>
      <c r="AA25" s="31">
        <f t="shared" si="40"/>
        <v>0.11690507245460371</v>
      </c>
      <c r="AB25" s="31">
        <f t="shared" si="40"/>
        <v>0.11405141920672091</v>
      </c>
    </row>
    <row r="26" spans="2:98" s="31" customFormat="1" x14ac:dyDescent="0.2">
      <c r="B26" s="31" t="s">
        <v>58</v>
      </c>
      <c r="E26" s="31">
        <f t="shared" ref="E26:M26" si="41">E18/E17</f>
        <v>1.2896825396825399E-3</v>
      </c>
      <c r="F26" s="31">
        <f t="shared" si="41"/>
        <v>9.0795841119256388E-3</v>
      </c>
      <c r="G26" s="31">
        <f t="shared" si="41"/>
        <v>2.7957555689343765E-2</v>
      </c>
      <c r="H26" s="31">
        <f t="shared" si="41"/>
        <v>8.5099169350737441E-2</v>
      </c>
      <c r="I26" s="31">
        <f t="shared" si="41"/>
        <v>8.6849528190212091</v>
      </c>
      <c r="J26" s="31">
        <f t="shared" si="41"/>
        <v>4.9352027706401506E-2</v>
      </c>
      <c r="K26" s="31">
        <f t="shared" si="41"/>
        <v>0.30331233295150811</v>
      </c>
      <c r="L26" s="31">
        <f t="shared" si="41"/>
        <v>-1.4521476460620335</v>
      </c>
      <c r="M26" s="31">
        <f t="shared" ref="M26" si="42">M18/M17</f>
        <v>-3.5342478034785638</v>
      </c>
      <c r="N26" s="31">
        <f t="shared" ref="N26" si="43">N18/N17</f>
        <v>-2.4615187761206081</v>
      </c>
      <c r="R26" s="31">
        <f>R18/R17</f>
        <v>1.6299395943711402E-2</v>
      </c>
      <c r="S26" s="31">
        <f>S18/S17</f>
        <v>1.5934405455148895</v>
      </c>
      <c r="T26" s="31">
        <f>T18/T17</f>
        <v>-1.0404734048968294</v>
      </c>
      <c r="U26" s="31">
        <v>0.02</v>
      </c>
      <c r="V26" s="31">
        <v>0.1</v>
      </c>
      <c r="W26" s="31">
        <v>0.2</v>
      </c>
      <c r="X26" s="31">
        <v>0.2</v>
      </c>
      <c r="Y26" s="31">
        <v>0.2</v>
      </c>
      <c r="Z26" s="31">
        <v>0.2</v>
      </c>
      <c r="AA26" s="31">
        <v>0.2</v>
      </c>
      <c r="AB26" s="31">
        <v>0.2</v>
      </c>
    </row>
    <row r="28" spans="2:98" s="30" customFormat="1" x14ac:dyDescent="0.2">
      <c r="B28" s="30" t="s">
        <v>59</v>
      </c>
      <c r="I28" s="30">
        <f>+I6/E6-1</f>
        <v>0.32471831546897278</v>
      </c>
      <c r="J28" s="30">
        <f>+J6/F6-1</f>
        <v>0.3325441187239131</v>
      </c>
      <c r="K28" s="30">
        <f>+K6/G6-1</f>
        <v>0.33346206592159411</v>
      </c>
      <c r="L28" s="30">
        <f>+L6/H6-1</f>
        <v>0.30808634412993152</v>
      </c>
      <c r="M28" s="30">
        <f>+M6/I6-1</f>
        <v>0.3098791992944383</v>
      </c>
      <c r="N28" s="30">
        <v>0.32</v>
      </c>
      <c r="S28" s="30">
        <f>+S6/R6-1</f>
        <v>0.36661984842200512</v>
      </c>
      <c r="T28" s="30">
        <f>+T6/S6-1</f>
        <v>0.31746572720406419</v>
      </c>
      <c r="U28" s="30">
        <v>0.3</v>
      </c>
      <c r="V28" s="30">
        <v>0.25</v>
      </c>
      <c r="W28" s="30">
        <v>0.22</v>
      </c>
      <c r="X28" s="30">
        <v>0.2</v>
      </c>
      <c r="Y28" s="30">
        <v>0.15</v>
      </c>
      <c r="Z28" s="30">
        <v>0.1</v>
      </c>
      <c r="AA28" s="30">
        <v>0.05</v>
      </c>
      <c r="AB28" s="30">
        <v>0.05</v>
      </c>
    </row>
    <row r="29" spans="2:98" s="31" customFormat="1" x14ac:dyDescent="0.2">
      <c r="B29" s="31" t="s">
        <v>60</v>
      </c>
      <c r="F29" s="31">
        <f t="shared" ref="F29:M29" si="44">+F6/E6-1</f>
        <v>8.7855480124976904E-2</v>
      </c>
      <c r="G29" s="31">
        <f t="shared" si="44"/>
        <v>3.2308981587704455E-2</v>
      </c>
      <c r="H29" s="31">
        <f t="shared" si="44"/>
        <v>0.10011980012295285</v>
      </c>
      <c r="I29" s="31">
        <f t="shared" si="44"/>
        <v>7.2266282660247372E-2</v>
      </c>
      <c r="J29" s="31">
        <f t="shared" si="44"/>
        <v>9.4282010850682774E-2</v>
      </c>
      <c r="K29" s="31">
        <f t="shared" si="44"/>
        <v>3.3020106362842805E-2</v>
      </c>
      <c r="L29" s="31">
        <f t="shared" si="44"/>
        <v>7.918457091856923E-2</v>
      </c>
      <c r="M29" s="31">
        <f t="shared" si="44"/>
        <v>7.3735924286903565E-2</v>
      </c>
    </row>
    <row r="31" spans="2:98" x14ac:dyDescent="0.2">
      <c r="AD31" s="42" t="s">
        <v>115</v>
      </c>
      <c r="AE31" s="48">
        <v>0.02</v>
      </c>
    </row>
    <row r="32" spans="2:98" x14ac:dyDescent="0.2">
      <c r="AD32" s="43" t="s">
        <v>116</v>
      </c>
      <c r="AE32" s="49">
        <v>7.0000000000000007E-2</v>
      </c>
    </row>
    <row r="33" spans="2:31" x14ac:dyDescent="0.2">
      <c r="B33" s="32" t="s">
        <v>61</v>
      </c>
      <c r="AD33" s="43" t="s">
        <v>117</v>
      </c>
      <c r="AE33" s="50">
        <f>+NPV(AE32,T19:CT19)</f>
        <v>3842.2922651883869</v>
      </c>
    </row>
    <row r="34" spans="2:31" s="33" customFormat="1" x14ac:dyDescent="0.2">
      <c r="B34" s="33" t="s">
        <v>6</v>
      </c>
      <c r="L34" s="33">
        <v>438.61599999999999</v>
      </c>
      <c r="M34" s="33">
        <v>176.63</v>
      </c>
      <c r="AD34" s="43" t="s">
        <v>8</v>
      </c>
      <c r="AE34" s="46">
        <f>+Main!C11</f>
        <v>916.97</v>
      </c>
    </row>
    <row r="35" spans="2:31" s="33" customFormat="1" x14ac:dyDescent="0.2">
      <c r="B35" s="33" t="s">
        <v>62</v>
      </c>
      <c r="L35" s="33">
        <v>644.48800000000006</v>
      </c>
      <c r="M35" s="33">
        <v>740.34</v>
      </c>
      <c r="AD35" s="44" t="s">
        <v>118</v>
      </c>
      <c r="AE35" s="46">
        <f>+AE33-AE34</f>
        <v>2925.3222651883871</v>
      </c>
    </row>
    <row r="36" spans="2:31" s="3" customFormat="1" x14ac:dyDescent="0.2">
      <c r="B36" s="3" t="s">
        <v>63</v>
      </c>
      <c r="L36" s="3">
        <v>165.001</v>
      </c>
      <c r="M36" s="3">
        <v>197.55500000000001</v>
      </c>
      <c r="AD36" s="7" t="s">
        <v>119</v>
      </c>
      <c r="AE36" s="47">
        <f>+AE35/Main!C7</f>
        <v>18.133998680786195</v>
      </c>
    </row>
    <row r="37" spans="2:31" s="3" customFormat="1" x14ac:dyDescent="0.2">
      <c r="B37" s="3" t="s">
        <v>64</v>
      </c>
      <c r="L37" s="3">
        <v>33.841000000000001</v>
      </c>
      <c r="M37" s="3">
        <v>34.518000000000001</v>
      </c>
      <c r="AD37" s="44" t="s">
        <v>120</v>
      </c>
      <c r="AE37" s="47">
        <f>+Main!C6</f>
        <v>66.650000000000006</v>
      </c>
    </row>
    <row r="38" spans="2:31" s="3" customFormat="1" x14ac:dyDescent="0.2">
      <c r="B38" s="3" t="s">
        <v>65</v>
      </c>
      <c r="L38" s="3">
        <v>32.409999999999997</v>
      </c>
      <c r="M38" s="3">
        <v>43.12</v>
      </c>
      <c r="AD38" s="45" t="s">
        <v>121</v>
      </c>
      <c r="AE38" s="51">
        <f>+AE36/AE37-1</f>
        <v>-0.72792200028827914</v>
      </c>
    </row>
    <row r="39" spans="2:31" s="3" customFormat="1" x14ac:dyDescent="0.2">
      <c r="B39" s="3" t="s">
        <v>66</v>
      </c>
      <c r="L39" s="3">
        <f>+SUM(L34:L38)</f>
        <v>1314.356</v>
      </c>
      <c r="M39" s="3">
        <f>+SUM(M34:M38)</f>
        <v>1192.163</v>
      </c>
    </row>
    <row r="40" spans="2:31" s="3" customFormat="1" x14ac:dyDescent="0.2">
      <c r="B40" s="3" t="s">
        <v>67</v>
      </c>
      <c r="L40" s="3">
        <v>2.899</v>
      </c>
      <c r="M40" s="3">
        <v>3.5630000000000002</v>
      </c>
    </row>
    <row r="41" spans="2:31" s="3" customFormat="1" x14ac:dyDescent="0.2">
      <c r="B41" s="3" t="s">
        <v>68</v>
      </c>
      <c r="L41" s="3">
        <v>0.48199999999999998</v>
      </c>
      <c r="M41" s="3">
        <v>0.44400000000000001</v>
      </c>
    </row>
    <row r="42" spans="2:31" s="3" customFormat="1" x14ac:dyDescent="0.2">
      <c r="B42" s="3" t="s">
        <v>69</v>
      </c>
      <c r="L42" s="3">
        <f>16.017+21.867</f>
        <v>37.884</v>
      </c>
      <c r="M42" s="3">
        <f>16.131+19.536</f>
        <v>35.667000000000002</v>
      </c>
    </row>
    <row r="43" spans="2:31" s="3" customFormat="1" x14ac:dyDescent="0.2">
      <c r="B43" s="3" t="s">
        <v>64</v>
      </c>
      <c r="L43" s="3">
        <v>15.753</v>
      </c>
      <c r="M43" s="3">
        <v>17.248000000000001</v>
      </c>
    </row>
    <row r="44" spans="2:31" s="3" customFormat="1" x14ac:dyDescent="0.2">
      <c r="B44" s="3" t="s">
        <v>70</v>
      </c>
      <c r="L44" s="3">
        <v>4.8879999999999999</v>
      </c>
      <c r="M44" s="3">
        <v>3.552</v>
      </c>
    </row>
    <row r="45" spans="2:31" s="3" customFormat="1" x14ac:dyDescent="0.2">
      <c r="B45" s="3" t="s">
        <v>71</v>
      </c>
      <c r="L45" s="3">
        <f>+SUM(L39:L44)</f>
        <v>1376.2619999999997</v>
      </c>
      <c r="M45" s="3">
        <f>+SUM(M39:M44)</f>
        <v>1252.6369999999999</v>
      </c>
    </row>
    <row r="47" spans="2:31" s="3" customFormat="1" x14ac:dyDescent="0.2">
      <c r="B47" s="3" t="s">
        <v>72</v>
      </c>
      <c r="L47" s="3">
        <v>3.2189999999999999</v>
      </c>
      <c r="M47" s="3">
        <v>2.2240000000000002</v>
      </c>
    </row>
    <row r="48" spans="2:31" s="3" customFormat="1" x14ac:dyDescent="0.2">
      <c r="B48" s="3" t="s">
        <v>73</v>
      </c>
      <c r="L48" s="3">
        <v>272.16399999999999</v>
      </c>
      <c r="M48" s="3">
        <v>51.820999999999998</v>
      </c>
    </row>
    <row r="49" spans="2:13" s="3" customFormat="1" x14ac:dyDescent="0.2">
      <c r="B49" s="3" t="s">
        <v>74</v>
      </c>
      <c r="L49" s="3">
        <v>29.117000000000001</v>
      </c>
      <c r="M49" s="3">
        <v>27.274000000000001</v>
      </c>
    </row>
    <row r="50" spans="2:13" s="3" customFormat="1" x14ac:dyDescent="0.2">
      <c r="B50" s="3" t="s">
        <v>75</v>
      </c>
      <c r="L50" s="3">
        <v>362.34800000000001</v>
      </c>
      <c r="M50" s="3">
        <v>383.18299999999999</v>
      </c>
    </row>
    <row r="51" spans="2:13" s="3" customFormat="1" x14ac:dyDescent="0.2">
      <c r="B51" s="3" t="s">
        <v>76</v>
      </c>
      <c r="L51" s="3">
        <f>+SUM(L47:L50)</f>
        <v>666.84799999999996</v>
      </c>
      <c r="M51" s="3">
        <f>+SUM(M47:M50)</f>
        <v>464.50200000000001</v>
      </c>
    </row>
    <row r="52" spans="2:13" s="3" customFormat="1" x14ac:dyDescent="0.2">
      <c r="B52" s="3" t="s">
        <v>75</v>
      </c>
      <c r="L52" s="3">
        <v>14.731999999999999</v>
      </c>
      <c r="M52" s="3">
        <v>14.138</v>
      </c>
    </row>
    <row r="53" spans="2:13" s="3" customFormat="1" x14ac:dyDescent="0.2">
      <c r="B53" s="3" t="s">
        <v>77</v>
      </c>
      <c r="L53" s="3">
        <v>6.6779999999999999</v>
      </c>
      <c r="M53" s="3">
        <v>3.7759999999999998</v>
      </c>
    </row>
    <row r="54" spans="2:13" s="3" customFormat="1" x14ac:dyDescent="0.2">
      <c r="B54" s="3" t="s">
        <v>78</v>
      </c>
      <c r="L54" s="3">
        <f>+SUM(L51:L53)</f>
        <v>688.25799999999992</v>
      </c>
      <c r="M54" s="3">
        <f>+SUM(M51:M53)</f>
        <v>482.416</v>
      </c>
    </row>
    <row r="55" spans="2:13" s="3" customFormat="1" x14ac:dyDescent="0.2"/>
    <row r="56" spans="2:13" s="3" customFormat="1" x14ac:dyDescent="0.2">
      <c r="B56" s="3" t="s">
        <v>79</v>
      </c>
      <c r="L56" s="3">
        <v>688.00400000000002</v>
      </c>
      <c r="M56" s="3">
        <v>770.22299999999996</v>
      </c>
    </row>
    <row r="57" spans="2:13" s="3" customFormat="1" x14ac:dyDescent="0.2">
      <c r="B57" s="3" t="s">
        <v>80</v>
      </c>
      <c r="L57" s="3">
        <f>+L56+L54</f>
        <v>1376.2619999999999</v>
      </c>
      <c r="M57" s="3">
        <f>+M56+M54</f>
        <v>1252.6389999999999</v>
      </c>
    </row>
    <row r="59" spans="2:13" x14ac:dyDescent="0.2">
      <c r="B59" s="1" t="s">
        <v>81</v>
      </c>
      <c r="L59" s="3">
        <f>+L45-L54</f>
        <v>688.00399999999979</v>
      </c>
      <c r="M59" s="3">
        <f>+M45-M54</f>
        <v>770.221</v>
      </c>
    </row>
    <row r="60" spans="2:13" x14ac:dyDescent="0.2">
      <c r="B60" s="1" t="s">
        <v>82</v>
      </c>
      <c r="L60" s="1">
        <f>+L59/L21</f>
        <v>4.3087232350307172</v>
      </c>
      <c r="M60" s="1">
        <f>+M59/M21</f>
        <v>4.7745804843878821</v>
      </c>
    </row>
    <row r="62" spans="2:13" x14ac:dyDescent="0.2">
      <c r="B62" s="1" t="s">
        <v>6</v>
      </c>
      <c r="L62" s="3">
        <f>+L34+L35</f>
        <v>1083.104</v>
      </c>
      <c r="M62" s="3">
        <f>+M34+M35</f>
        <v>916.97</v>
      </c>
    </row>
    <row r="63" spans="2:13" x14ac:dyDescent="0.2">
      <c r="B63" s="1" t="s">
        <v>7</v>
      </c>
      <c r="L63" s="1">
        <v>0</v>
      </c>
      <c r="M63" s="1">
        <v>0</v>
      </c>
    </row>
    <row r="64" spans="2:13" x14ac:dyDescent="0.2">
      <c r="B64" s="1" t="s">
        <v>8</v>
      </c>
      <c r="L64" s="3">
        <f>+L62-L63</f>
        <v>1083.104</v>
      </c>
      <c r="M64" s="3">
        <f>+M62-M63</f>
        <v>916.97</v>
      </c>
    </row>
    <row r="66" spans="2:19" x14ac:dyDescent="0.2">
      <c r="B66" s="1" t="s">
        <v>83</v>
      </c>
      <c r="L66" s="1">
        <v>51.23</v>
      </c>
      <c r="M66" s="1">
        <v>53.75</v>
      </c>
    </row>
    <row r="67" spans="2:19" s="3" customFormat="1" x14ac:dyDescent="0.2">
      <c r="B67" s="3" t="s">
        <v>5</v>
      </c>
      <c r="L67" s="3">
        <f>+L66*L21</f>
        <v>8180.2527099999988</v>
      </c>
      <c r="M67" s="3">
        <f>+M66*M21</f>
        <v>8670.7887499999997</v>
      </c>
    </row>
    <row r="68" spans="2:19" s="3" customFormat="1" x14ac:dyDescent="0.2">
      <c r="B68" s="3" t="s">
        <v>9</v>
      </c>
      <c r="L68" s="3">
        <f>+L67-L64</f>
        <v>7097.1487099999986</v>
      </c>
      <c r="M68" s="3">
        <f>+M67-M64</f>
        <v>7753.8187499999995</v>
      </c>
    </row>
    <row r="70" spans="2:19" s="66" customFormat="1" x14ac:dyDescent="0.2">
      <c r="B70" s="66" t="s">
        <v>24</v>
      </c>
      <c r="L70" s="66">
        <f>+L66/L60</f>
        <v>11.889833067831002</v>
      </c>
      <c r="M70" s="66">
        <f>+M66/M60</f>
        <v>11.257533552058435</v>
      </c>
    </row>
    <row r="71" spans="2:19" s="66" customFormat="1" x14ac:dyDescent="0.2">
      <c r="B71" s="66" t="s">
        <v>25</v>
      </c>
      <c r="L71" s="66">
        <f>+L67/SUM(I6:L6)</f>
        <v>12.297100664744487</v>
      </c>
      <c r="M71" s="66">
        <f>+M67/SUM(J6:M6)</f>
        <v>12.184970917527759</v>
      </c>
    </row>
    <row r="72" spans="2:19" s="66" customFormat="1" x14ac:dyDescent="0.2">
      <c r="B72" s="66" t="s">
        <v>27</v>
      </c>
      <c r="L72" s="66">
        <f>+L66/SUM(I20:L20)</f>
        <v>-21.7597249833712</v>
      </c>
      <c r="M72" s="66">
        <f>+M66/SUM(J20:M20)</f>
        <v>-161.34529470667169</v>
      </c>
    </row>
    <row r="74" spans="2:19" x14ac:dyDescent="0.2">
      <c r="B74" s="32" t="s">
        <v>84</v>
      </c>
    </row>
    <row r="75" spans="2:19" s="3" customFormat="1" x14ac:dyDescent="0.2">
      <c r="B75" s="3" t="s">
        <v>85</v>
      </c>
      <c r="G75" s="3">
        <v>-10.961</v>
      </c>
      <c r="H75" s="3">
        <f>16.148-G75</f>
        <v>27.109000000000002</v>
      </c>
      <c r="I75" s="3">
        <f>10.187-SUM(G75:H75)</f>
        <v>-5.9610000000000039</v>
      </c>
      <c r="J75" s="3">
        <f>24.853-SUM(G75:I75)</f>
        <v>14.666000000000002</v>
      </c>
      <c r="K75" s="3">
        <v>38.137999999999998</v>
      </c>
      <c r="L75" s="3">
        <f>49.835-K75</f>
        <v>11.697000000000003</v>
      </c>
      <c r="M75" s="3">
        <f>-127.193-SUM(K75:L75)</f>
        <v>-177.02799999999999</v>
      </c>
      <c r="S75" s="3">
        <f>+SUM(G75:J75)</f>
        <v>24.853000000000002</v>
      </c>
    </row>
    <row r="76" spans="2:19" s="3" customFormat="1" x14ac:dyDescent="0.2">
      <c r="B76" s="3" t="s">
        <v>86</v>
      </c>
      <c r="G76" s="3">
        <v>0.25600000000000001</v>
      </c>
      <c r="H76" s="3">
        <f>0.533-G76</f>
        <v>0.27700000000000002</v>
      </c>
      <c r="I76" s="3">
        <f>1.269-SUM(G76:H76)</f>
        <v>0.73599999999999988</v>
      </c>
      <c r="J76" s="3">
        <f>0.329-SUM(G76:I76)</f>
        <v>-0.94</v>
      </c>
      <c r="K76" s="3">
        <v>0.7</v>
      </c>
      <c r="L76" s="3">
        <f>1.551-K76</f>
        <v>0.85099999999999998</v>
      </c>
      <c r="M76" s="3">
        <f>1.057-187.735</f>
        <v>-186.67800000000003</v>
      </c>
      <c r="S76" s="3">
        <f>+SUM(G76:J76)</f>
        <v>0.32899999999999996</v>
      </c>
    </row>
    <row r="77" spans="2:19" s="3" customFormat="1" x14ac:dyDescent="0.2">
      <c r="B77" s="3" t="s">
        <v>87</v>
      </c>
      <c r="G77" s="3">
        <f t="shared" ref="G77:L77" si="45">+G75-G76</f>
        <v>-11.217000000000001</v>
      </c>
      <c r="H77" s="3">
        <f t="shared" si="45"/>
        <v>26.832000000000001</v>
      </c>
      <c r="I77" s="3">
        <f t="shared" si="45"/>
        <v>-6.6970000000000036</v>
      </c>
      <c r="J77" s="3">
        <f t="shared" si="45"/>
        <v>15.606000000000002</v>
      </c>
      <c r="K77" s="3">
        <f t="shared" si="45"/>
        <v>37.437999999999995</v>
      </c>
      <c r="L77" s="39">
        <f t="shared" si="45"/>
        <v>10.846000000000004</v>
      </c>
      <c r="M77" s="39">
        <f t="shared" ref="M77" si="46">+M75-M76</f>
        <v>9.6500000000000341</v>
      </c>
      <c r="S77" s="3">
        <f>+S75-S76</f>
        <v>24.524000000000001</v>
      </c>
    </row>
    <row r="78" spans="2:19" s="3" customFormat="1" x14ac:dyDescent="0.2">
      <c r="B78" s="3" t="s">
        <v>90</v>
      </c>
      <c r="J78" s="3">
        <f>+SUM(G77:J77)</f>
        <v>24.523999999999997</v>
      </c>
      <c r="K78" s="3">
        <f>+SUM(H77:K77)</f>
        <v>73.179000000000002</v>
      </c>
      <c r="L78" s="3">
        <f>+SUM(I77:L77)</f>
        <v>57.192999999999998</v>
      </c>
      <c r="M78" s="3">
        <f>+SUM(J77:M77)</f>
        <v>73.540000000000035</v>
      </c>
    </row>
    <row r="80" spans="2:19" x14ac:dyDescent="0.2">
      <c r="B80" s="1" t="s">
        <v>88</v>
      </c>
      <c r="K80" s="1">
        <f>+K78/K21</f>
        <v>0.46269845786149205</v>
      </c>
      <c r="L80" s="1">
        <f>+L78/L21</f>
        <v>0.35817932451135731</v>
      </c>
      <c r="M80" s="1">
        <f>+M78/M21</f>
        <v>0.45587259867217983</v>
      </c>
    </row>
    <row r="81" spans="2:13" s="66" customFormat="1" x14ac:dyDescent="0.2">
      <c r="B81" s="66" t="s">
        <v>89</v>
      </c>
      <c r="L81" s="66">
        <f>+L66/L80</f>
        <v>143.02891455248019</v>
      </c>
      <c r="M81" s="66">
        <f>+M66/M80</f>
        <v>117.90574857220555</v>
      </c>
    </row>
  </sheetData>
  <hyperlinks>
    <hyperlink ref="L1" r:id="rId1" xr:uid="{FD0B42B7-A17C-4F4B-93C3-09E21958016D}"/>
    <hyperlink ref="K1" r:id="rId2" xr:uid="{99905A11-BF73-45DC-89C0-2928ADC66ACF}"/>
    <hyperlink ref="I1" r:id="rId3" xr:uid="{66E50FE4-9C30-47F5-AA1C-BA1CC1967928}"/>
    <hyperlink ref="S1" r:id="rId4" xr:uid="{FC940ED8-661F-41D5-A05C-BC26F10BC7F8}"/>
    <hyperlink ref="J1" r:id="rId5" xr:uid="{4D54D595-E29E-4A94-A618-82F2F2484DE8}"/>
    <hyperlink ref="M1" r:id="rId6" xr:uid="{EDA4CCD6-3F01-439C-93AC-6C9C4864237D}"/>
  </hyperlinks>
  <pageMargins left="0.7" right="0.7" top="0.75" bottom="0.75" header="0.3" footer="0.3"/>
  <pageSetup orientation="portrait" r:id="rId7"/>
  <ignoredErrors>
    <ignoredError sqref="S4:S5 S18:S21 N15" formulaRange="1"/>
    <ignoredError sqref="S6:S17 T18 T15:T16 T11:T13" formula="1" formulaRange="1"/>
    <ignoredError sqref="T20 T10 T14 T17 T19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2024-12-03T00:55:06Z</dcterms:created>
  <dcterms:modified xsi:type="dcterms:W3CDTF">2024-12-06T17:50:54Z</dcterms:modified>
</cp:coreProperties>
</file>