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8D60F6A-FE30-42BF-8452-F5BD95294F42}" xr6:coauthVersionLast="36" xr6:coauthVersionMax="36" xr10:uidLastSave="{00000000-0000-0000-0000-000000000000}"/>
  <bookViews>
    <workbookView xWindow="0" yWindow="0" windowWidth="21570" windowHeight="7980" activeTab="1" xr2:uid="{DCD3578D-FA8F-4742-9003-583D815C10F0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2" l="1"/>
  <c r="K26" i="2"/>
  <c r="R16" i="2"/>
  <c r="R14" i="2"/>
  <c r="R13" i="2"/>
  <c r="R11" i="2"/>
  <c r="R9" i="2"/>
  <c r="R8" i="2"/>
  <c r="R12" i="2" s="1"/>
  <c r="R15" i="2" s="1"/>
  <c r="K16" i="2"/>
  <c r="K17" i="2" s="1"/>
  <c r="K18" i="2" s="1"/>
  <c r="K25" i="2"/>
  <c r="K15" i="2"/>
  <c r="K14" i="2"/>
  <c r="K13" i="2"/>
  <c r="K12" i="2"/>
  <c r="K11" i="2"/>
  <c r="K9" i="2"/>
  <c r="K8" i="2"/>
  <c r="C37" i="1"/>
  <c r="C36" i="1"/>
  <c r="C35" i="1"/>
  <c r="C34" i="1"/>
  <c r="R19" i="2"/>
  <c r="K19" i="2"/>
  <c r="R7" i="2"/>
  <c r="K7" i="2"/>
  <c r="R6" i="2"/>
  <c r="R5" i="2"/>
  <c r="K6" i="2"/>
  <c r="K5" i="2"/>
  <c r="R21" i="2"/>
  <c r="R4" i="2"/>
  <c r="K4" i="2"/>
  <c r="Q80" i="2"/>
  <c r="Q79" i="2"/>
  <c r="Q78" i="2"/>
  <c r="Q77" i="2"/>
  <c r="Q76" i="2"/>
  <c r="Q74" i="2"/>
  <c r="Q73" i="2"/>
  <c r="Q72" i="2"/>
  <c r="Q69" i="2"/>
  <c r="Q68" i="2"/>
  <c r="Q70" i="2" s="1"/>
  <c r="Q66" i="2"/>
  <c r="Q65" i="2"/>
  <c r="Q63" i="2"/>
  <c r="Q62" i="2"/>
  <c r="Q59" i="2"/>
  <c r="Q58" i="2"/>
  <c r="Q57" i="2"/>
  <c r="Q56" i="2"/>
  <c r="Q53" i="2"/>
  <c r="Q54" i="2" s="1"/>
  <c r="Q60" i="2" s="1"/>
  <c r="Q52" i="2"/>
  <c r="Q51" i="2"/>
  <c r="Q50" i="2"/>
  <c r="Q55" i="2"/>
  <c r="Q49" i="2"/>
  <c r="Q48" i="2"/>
  <c r="Q47" i="2"/>
  <c r="Q44" i="2"/>
  <c r="Q43" i="2"/>
  <c r="Q42" i="2"/>
  <c r="Q41" i="2"/>
  <c r="Q39" i="2"/>
  <c r="Q38" i="2"/>
  <c r="Q37" i="2"/>
  <c r="Q36" i="2"/>
  <c r="Q35" i="2"/>
  <c r="Q34" i="2"/>
  <c r="Q40" i="2" s="1"/>
  <c r="Q45" i="2" s="1"/>
  <c r="Q33" i="2"/>
  <c r="A78" i="2"/>
  <c r="A77" i="2"/>
  <c r="A76" i="2"/>
  <c r="H80" i="2"/>
  <c r="G80" i="2"/>
  <c r="H79" i="2"/>
  <c r="G79" i="2"/>
  <c r="I78" i="2"/>
  <c r="H78" i="2"/>
  <c r="G78" i="2"/>
  <c r="I77" i="2"/>
  <c r="H77" i="2"/>
  <c r="G77" i="2"/>
  <c r="J78" i="2"/>
  <c r="J77" i="2"/>
  <c r="G76" i="2"/>
  <c r="G73" i="2"/>
  <c r="G74" i="2" s="1"/>
  <c r="G69" i="2"/>
  <c r="G68" i="2"/>
  <c r="G70" i="2" s="1"/>
  <c r="G65" i="2"/>
  <c r="G66" i="2" s="1"/>
  <c r="G63" i="2"/>
  <c r="G43" i="2"/>
  <c r="H22" i="2"/>
  <c r="G24" i="2"/>
  <c r="G22" i="2"/>
  <c r="G19" i="2"/>
  <c r="G16" i="2"/>
  <c r="G14" i="2"/>
  <c r="G13" i="2"/>
  <c r="G11" i="2"/>
  <c r="G29" i="2" s="1"/>
  <c r="G10" i="2"/>
  <c r="G9" i="2"/>
  <c r="G8" i="2"/>
  <c r="G7" i="2"/>
  <c r="G5" i="2"/>
  <c r="G4" i="2"/>
  <c r="Q29" i="2"/>
  <c r="Q27" i="2"/>
  <c r="Q26" i="2"/>
  <c r="Q25" i="2"/>
  <c r="Q24" i="2"/>
  <c r="Q18" i="2"/>
  <c r="Q6" i="2"/>
  <c r="Q12" i="2" s="1"/>
  <c r="Q15" i="2" s="1"/>
  <c r="Q17" i="2" s="1"/>
  <c r="F29" i="2"/>
  <c r="E29" i="2"/>
  <c r="D29" i="2"/>
  <c r="I29" i="2"/>
  <c r="H29" i="2"/>
  <c r="J29" i="2"/>
  <c r="R25" i="2" l="1"/>
  <c r="R17" i="2"/>
  <c r="R26" i="2" l="1"/>
  <c r="R18" i="2"/>
  <c r="J94" i="2"/>
  <c r="J95" i="2" s="1"/>
  <c r="J92" i="2"/>
  <c r="J90" i="2"/>
  <c r="J89" i="2"/>
  <c r="J86" i="2"/>
  <c r="I94" i="2"/>
  <c r="I95" i="2" s="1"/>
  <c r="I92" i="2"/>
  <c r="I90" i="2"/>
  <c r="I89" i="2"/>
  <c r="I86" i="2"/>
  <c r="H95" i="2"/>
  <c r="H94" i="2"/>
  <c r="H92" i="2"/>
  <c r="H73" i="2"/>
  <c r="H69" i="2"/>
  <c r="H68" i="2"/>
  <c r="H70" i="2" s="1"/>
  <c r="H65" i="2"/>
  <c r="H66" i="2" s="1"/>
  <c r="H76" i="2" s="1"/>
  <c r="H63" i="2"/>
  <c r="H43" i="2"/>
  <c r="D27" i="2"/>
  <c r="D26" i="2"/>
  <c r="D25" i="2"/>
  <c r="D24" i="2"/>
  <c r="D18" i="2"/>
  <c r="H27" i="2"/>
  <c r="H26" i="2"/>
  <c r="H25" i="2"/>
  <c r="H24" i="2"/>
  <c r="H18" i="2"/>
  <c r="E22" i="2"/>
  <c r="I22" i="2"/>
  <c r="H21" i="2"/>
  <c r="I76" i="2"/>
  <c r="I73" i="2"/>
  <c r="I69" i="2"/>
  <c r="I68" i="2"/>
  <c r="I70" i="2" s="1"/>
  <c r="I65" i="2"/>
  <c r="I66" i="2" s="1"/>
  <c r="I63" i="2"/>
  <c r="I43" i="2"/>
  <c r="F22" i="2"/>
  <c r="I21" i="2"/>
  <c r="E27" i="2"/>
  <c r="E26" i="2"/>
  <c r="E25" i="2"/>
  <c r="E24" i="2"/>
  <c r="E18" i="2"/>
  <c r="J22" i="2"/>
  <c r="I24" i="2"/>
  <c r="H74" i="2" l="1"/>
  <c r="I74" i="2"/>
  <c r="J76" i="2"/>
  <c r="J73" i="2"/>
  <c r="C33" i="1"/>
  <c r="D11" i="1"/>
  <c r="D10" i="1"/>
  <c r="D9" i="1"/>
  <c r="C10" i="1"/>
  <c r="C9" i="1"/>
  <c r="J70" i="2"/>
  <c r="J74" i="2" s="1"/>
  <c r="J69" i="2"/>
  <c r="J68" i="2"/>
  <c r="J66" i="2"/>
  <c r="J65" i="2"/>
  <c r="F60" i="2"/>
  <c r="E60" i="2"/>
  <c r="D60" i="2"/>
  <c r="C60" i="2"/>
  <c r="J60" i="2"/>
  <c r="J63" i="2"/>
  <c r="I54" i="2"/>
  <c r="I60" i="2" s="1"/>
  <c r="H54" i="2"/>
  <c r="H60" i="2" s="1"/>
  <c r="G54" i="2"/>
  <c r="G60" i="2" s="1"/>
  <c r="F54" i="2"/>
  <c r="E54" i="2"/>
  <c r="D54" i="2"/>
  <c r="C54" i="2"/>
  <c r="J54" i="2"/>
  <c r="J43" i="2"/>
  <c r="J45" i="2" s="1"/>
  <c r="F45" i="2"/>
  <c r="E45" i="2"/>
  <c r="D45" i="2"/>
  <c r="C45" i="2"/>
  <c r="I40" i="2"/>
  <c r="I45" i="2" s="1"/>
  <c r="H40" i="2"/>
  <c r="H45" i="2" s="1"/>
  <c r="G40" i="2"/>
  <c r="G45" i="2" s="1"/>
  <c r="F40" i="2"/>
  <c r="E40" i="2"/>
  <c r="D40" i="2"/>
  <c r="C40" i="2"/>
  <c r="J40" i="2"/>
  <c r="F27" i="2"/>
  <c r="F26" i="2"/>
  <c r="F25" i="2"/>
  <c r="F24" i="2"/>
  <c r="J21" i="2"/>
  <c r="I6" i="2"/>
  <c r="I12" i="2" s="1"/>
  <c r="H6" i="2"/>
  <c r="H12" i="2" s="1"/>
  <c r="H15" i="2" s="1"/>
  <c r="H17" i="2" s="1"/>
  <c r="G6" i="2"/>
  <c r="G12" i="2" s="1"/>
  <c r="F6" i="2"/>
  <c r="F12" i="2" s="1"/>
  <c r="F15" i="2" s="1"/>
  <c r="F17" i="2" s="1"/>
  <c r="F18" i="2" s="1"/>
  <c r="E6" i="2"/>
  <c r="E12" i="2" s="1"/>
  <c r="E15" i="2" s="1"/>
  <c r="E17" i="2" s="1"/>
  <c r="D6" i="2"/>
  <c r="D12" i="2" s="1"/>
  <c r="D15" i="2" s="1"/>
  <c r="D17" i="2" s="1"/>
  <c r="C6" i="2"/>
  <c r="C12" i="2" s="1"/>
  <c r="C15" i="2" s="1"/>
  <c r="C17" i="2" s="1"/>
  <c r="J6" i="2"/>
  <c r="J24" i="2" s="1"/>
  <c r="D7" i="1"/>
  <c r="C8" i="1"/>
  <c r="I15" i="2" l="1"/>
  <c r="I25" i="2"/>
  <c r="G15" i="2"/>
  <c r="G25" i="2"/>
  <c r="C11" i="1"/>
  <c r="C12" i="1"/>
  <c r="J12" i="2"/>
  <c r="J15" i="2" s="1"/>
  <c r="J17" i="2" s="1"/>
  <c r="I17" i="2" l="1"/>
  <c r="I27" i="2"/>
  <c r="G17" i="2"/>
  <c r="G27" i="2"/>
  <c r="J27" i="2"/>
  <c r="J25" i="2"/>
  <c r="J26" i="2"/>
  <c r="J18" i="2"/>
  <c r="I80" i="2" l="1"/>
  <c r="J80" i="2"/>
  <c r="I26" i="2"/>
  <c r="I18" i="2"/>
  <c r="G18" i="2"/>
  <c r="G26" i="2"/>
  <c r="I79" i="2" l="1"/>
  <c r="J79" i="2"/>
  <c r="A80" i="2"/>
  <c r="A79" i="2" l="1"/>
</calcChain>
</file>

<file path=xl/sharedStrings.xml><?xml version="1.0" encoding="utf-8"?>
<sst xmlns="http://schemas.openxmlformats.org/spreadsheetml/2006/main" count="146" uniqueCount="130">
  <si>
    <t>$RDW</t>
  </si>
  <si>
    <t>Redwire Corp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</si>
  <si>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</si>
  <si>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</si>
  <si>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</si>
  <si>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</si>
  <si>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</si>
  <si>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</si>
  <si>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</si>
  <si>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</si>
  <si>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</si>
  <si>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</si>
  <si>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</si>
  <si>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</si>
  <si>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COO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</si>
  <si>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</si>
  <si>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</si>
  <si>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</si>
  <si>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</si>
  <si>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</si>
  <si>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</si>
  <si>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</si>
  <si>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</si>
  <si>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</si>
  <si>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</si>
  <si>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</si>
  <si>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</si>
  <si>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ROCE</t>
  </si>
  <si>
    <t>Peter Cannito</t>
  </si>
  <si>
    <t>Pres/Chair</t>
  </si>
  <si>
    <t>Jonathan Baliff</t>
  </si>
  <si>
    <t>Al Tadros</t>
  </si>
  <si>
    <t>Jacksonville, FL</t>
  </si>
  <si>
    <t>Key Events</t>
  </si>
  <si>
    <t>(Merger)</t>
  </si>
  <si>
    <t>Redwire Corporation is founded through a merger of Adcole Space and</t>
  </si>
  <si>
    <t>Deep Space Systems. It acquired Made In Space inc shortly after</t>
  </si>
  <si>
    <t>Space &amp; satellite technology for commercial, research &amp; military applications</t>
  </si>
  <si>
    <t>Wiki</t>
  </si>
  <si>
    <t>Link</t>
  </si>
  <si>
    <t>Q322</t>
  </si>
  <si>
    <t>Revenue</t>
  </si>
  <si>
    <t>COGS</t>
  </si>
  <si>
    <t>Gross Profit</t>
  </si>
  <si>
    <t>SG&amp;A</t>
  </si>
  <si>
    <t>Transaction Expenses</t>
  </si>
  <si>
    <t>Impairment Expenses</t>
  </si>
  <si>
    <t>R&amp;D</t>
  </si>
  <si>
    <t>Contingent Earnout Expense</t>
  </si>
  <si>
    <t>Operating Income</t>
  </si>
  <si>
    <t>Interest Expense, Net</t>
  </si>
  <si>
    <t>Other (Income) Expense, Net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</si>
  <si>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</si>
  <si>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</si>
  <si>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</si>
  <si>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</si>
  <si>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</si>
  <si>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</si>
  <si>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</si>
  <si>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</si>
  <si>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</si>
  <si>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</si>
  <si>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Q222</t>
  </si>
  <si>
    <t>Q122</t>
  </si>
  <si>
    <t>Q421</t>
  </si>
  <si>
    <t>Q321</t>
  </si>
  <si>
    <t>Q221</t>
  </si>
  <si>
    <t>Q121</t>
  </si>
  <si>
    <t>Q420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</si>
  <si>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</si>
  <si>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</si>
  <si>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</si>
  <si>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</si>
  <si>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</si>
  <si>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</si>
  <si>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</si>
  <si>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</si>
  <si>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</si>
  <si>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</si>
  <si>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</si>
  <si>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</si>
  <si>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</si>
  <si>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</si>
  <si>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</si>
  <si>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</si>
  <si>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Balance Sheet</t>
  </si>
  <si>
    <t>A/R</t>
  </si>
  <si>
    <t>Contract Assets</t>
  </si>
  <si>
    <t>Inventory</t>
  </si>
  <si>
    <t>Tax Receivables</t>
  </si>
  <si>
    <t>Prepaid Insurance</t>
  </si>
  <si>
    <t>Prepaid Expenses &amp; OCA</t>
  </si>
  <si>
    <t>TCA</t>
  </si>
  <si>
    <t>PP&amp;E</t>
  </si>
  <si>
    <t>ROU</t>
  </si>
  <si>
    <t>Goodwill+Intangibles</t>
  </si>
  <si>
    <t>Other NCA</t>
  </si>
  <si>
    <t>Assets</t>
  </si>
  <si>
    <t>A/P</t>
  </si>
  <si>
    <t>Notes Payable to Sellers</t>
  </si>
  <si>
    <t>Short-Term Debt</t>
  </si>
  <si>
    <t>Short-Term Lease Liabilities</t>
  </si>
  <si>
    <t>Accrued Expenses</t>
  </si>
  <si>
    <t>Deferred Revenue</t>
  </si>
  <si>
    <t>Other Current Laibilities</t>
  </si>
  <si>
    <t>TCL</t>
  </si>
  <si>
    <t>Long-Term Debt</t>
  </si>
  <si>
    <t>Long-Term Lease Liabilities</t>
  </si>
  <si>
    <t>Warrant Liabilities</t>
  </si>
  <si>
    <t>Deferred Tax Liabilities</t>
  </si>
  <si>
    <t>Other NCL</t>
  </si>
  <si>
    <t>Liabilities</t>
  </si>
  <si>
    <t>S/E</t>
  </si>
  <si>
    <t>S/E+L</t>
  </si>
  <si>
    <t>Book Value</t>
  </si>
  <si>
    <t>Book Value per Share</t>
  </si>
  <si>
    <t>Share Price</t>
  </si>
  <si>
    <t>Cashflow Statement</t>
  </si>
  <si>
    <t>CFFO</t>
  </si>
  <si>
    <t>Acquisition of Businesses</t>
  </si>
  <si>
    <t>Purchases of PP&amp;E</t>
  </si>
  <si>
    <t>Purchases of Intangibles</t>
  </si>
  <si>
    <t>Related Party Receivable</t>
  </si>
  <si>
    <t>CFFI</t>
  </si>
  <si>
    <t>CapEx</t>
  </si>
  <si>
    <t>FCF</t>
  </si>
  <si>
    <t>R&amp;D/Revenue</t>
  </si>
  <si>
    <t>-</t>
  </si>
  <si>
    <t>Q422</t>
  </si>
  <si>
    <t>(Projected)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</si>
</sst>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ir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iral"/>
    </font>
    <font>
      <b/>
      <sz val="10"/>
      <color theme="1" tint="0.499984740745262"/>
      <name val="Airal"/>
    </font>
    <font>
      <b/>
      <sz val="8"/>
      <color theme="1" tint="0.499984740745262"/>
      <name val="Airal"/>
    </font>
    <font>
      <b/>
      <u/>
      <sz val="10"/>
      <color theme="1"/>
      <name val="Airal"/>
    </font>
    <font>
      <sz val="8"/>
      <color theme="4"/>
      <name val="Airal"/>
    </font>
    <font>
      <b/>
      <i/>
      <sz val="10"/>
      <color theme="1"/>
      <name val="Airal"/>
    </font>
    <font>
      <b/>
      <i/>
      <sz val="8"/>
      <color theme="1" tint="0.499984740745262"/>
      <name val="Airal"/>
    </font>
    <font>
      <i/>
      <sz val="10"/>
      <color theme="1"/>
      <name val="Airal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7" fontId="2" fillId="2" borderId="4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left" indent="1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right"/>
    </xf>
    <xf numFmtId="17" fontId="8" fillId="0" borderId="0" xfId="0" applyNumberFormat="1" applyFont="1" applyAlignment="1">
      <alignment horizontal="right"/>
    </xf>
    <xf numFmtId="17" fontId="1" fillId="4" borderId="5" xfId="0" applyNumberFormat="1" applyFont="1" applyFill="1" applyBorder="1" applyAlignment="1">
      <alignment horizontal="center"/>
    </xf>
    <xf numFmtId="0" fontId="6" fillId="0" borderId="0" xfId="0" applyFont="1"/>
    <xf numFmtId="164" fontId="3" fillId="0" borderId="0" xfId="0" applyNumberFormat="1" applyFont="1"/>
    <xf numFmtId="9" fontId="3" fillId="0" borderId="0" xfId="0" applyNumberFormat="1" applyFont="1"/>
    <xf numFmtId="2" fontId="3" fillId="0" borderId="0" xfId="0" applyNumberFormat="1" applyFont="1"/>
    <xf numFmtId="9" fontId="6" fillId="0" borderId="0" xfId="0" applyNumberFormat="1" applyFont="1"/>
    <xf numFmtId="164" fontId="6" fillId="0" borderId="0" xfId="0" applyNumberFormat="1" applyFont="1"/>
    <xf numFmtId="0" fontId="5" fillId="0" borderId="0" xfId="1" applyFont="1" applyAlignment="1">
      <alignment horizontal="right"/>
    </xf>
    <xf numFmtId="0" fontId="9" fillId="0" borderId="0" xfId="0" applyFont="1"/>
    <xf numFmtId="165" fontId="3" fillId="0" borderId="0" xfId="0" applyNumberFormat="1" applyFont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0" xfId="0" applyFont="1" applyFill="1" applyAlignment="1">
      <alignment horizontal="left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0" fontId="6" fillId="6" borderId="0" xfId="0" applyFont="1" applyFill="1" applyAlignment="1">
      <alignment horizontal="right"/>
    </xf>
    <xf numFmtId="0" fontId="8" fillId="6" borderId="0" xfId="0" applyFont="1" applyFill="1" applyAlignment="1">
      <alignment horizontal="right"/>
    </xf>
    <xf numFmtId="164" fontId="6" fillId="6" borderId="0" xfId="0" applyNumberFormat="1" applyFont="1" applyFill="1"/>
    <xf numFmtId="164" fontId="3" fillId="6" borderId="0" xfId="0" applyNumberFormat="1" applyFont="1" applyFill="1"/>
    <xf numFmtId="2" fontId="3" fillId="6" borderId="0" xfId="0" applyNumberFormat="1" applyFont="1" applyFill="1"/>
    <xf numFmtId="9" fontId="6" fillId="6" borderId="0" xfId="0" applyNumberFormat="1" applyFont="1" applyFill="1"/>
    <xf numFmtId="0" fontId="3" fillId="6" borderId="0" xfId="0" applyFont="1" applyFill="1"/>
    <xf numFmtId="9" fontId="3" fillId="6" borderId="0" xfId="0" applyNumberFormat="1" applyFont="1" applyFill="1"/>
    <xf numFmtId="0" fontId="6" fillId="6" borderId="0" xfId="0" applyFont="1" applyFill="1"/>
    <xf numFmtId="0" fontId="11" fillId="6" borderId="0" xfId="0" applyFont="1" applyFill="1" applyAlignment="1">
      <alignment horizontal="right"/>
    </xf>
    <xf numFmtId="0" fontId="12" fillId="6" borderId="0" xfId="0" applyFont="1" applyFill="1" applyAlignment="1">
      <alignment horizontal="right"/>
    </xf>
    <xf numFmtId="164" fontId="11" fillId="6" borderId="0" xfId="0" applyNumberFormat="1" applyFont="1" applyFill="1"/>
    <xf numFmtId="164" fontId="13" fillId="6" borderId="0" xfId="0" applyNumberFormat="1" applyFont="1" applyFill="1"/>
    <xf numFmtId="2" fontId="13" fillId="6" borderId="0" xfId="0" applyNumberFormat="1" applyFont="1" applyFill="1"/>
    <xf numFmtId="9" fontId="11" fillId="6" borderId="0" xfId="0" applyNumberFormat="1" applyFont="1" applyFill="1"/>
    <xf numFmtId="9" fontId="13" fillId="6" borderId="0" xfId="0" applyNumberFormat="1" applyFont="1" applyFill="1"/>
    <xf numFmtId="0" fontId="13" fillId="6" borderId="0" xfId="0" applyFont="1" applyFill="1"/>
    <xf numFmtId="0" fontId="11" fillId="6" borderId="0" xfId="0" applyFont="1" applyFill="1"/>
    <xf numFmtId="0" fontId="3" fillId="6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D9D9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66674</xdr:rowOff>
    </xdr:from>
    <xdr:to>
      <xdr:col>4</xdr:col>
      <xdr:colOff>581025</xdr:colOff>
      <xdr:row>3</xdr:row>
      <xdr:rowOff>84918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865247-C4BA-4F85-B09A-CC1C8A561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66674"/>
          <a:ext cx="1304925" cy="5040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10</xdr:col>
      <xdr:colOff>9525</xdr:colOff>
      <xdr:row>109</xdr:row>
      <xdr:rowOff>66675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20C348A-9AA1-476B-9830-CCB4F3AABEA2}"/>
            </a:ext>
          </a:extLst>
        </xdr:cNvPr>
        <xdr:cNvCxnSpPr/>
      </xdr:nvCxnSpPr>
      <xdr:spPr>
        <a:xfrm>
          <a:off x="6848475" y="0"/>
          <a:ext cx="0" cy="177165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0</xdr:row>
      <xdr:rowOff>0</xdr:rowOff>
    </xdr:from>
    <xdr:to>
      <xdr:col>17</xdr:col>
      <xdr:colOff>19050</xdr:colOff>
      <xdr:row>109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FD2C4A9-8EFA-4282-9BA9-20D4BB06D285}"/>
            </a:ext>
          </a:extLst>
        </xdr:cNvPr>
        <xdr:cNvCxnSpPr/>
      </xdr:nvCxnSpPr>
      <xdr:spPr>
        <a:xfrm>
          <a:off x="11125200" y="0"/>
          <a:ext cx="0" cy="169068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r.redwirespace.com/" TargetMode="External"/><Relationship Id="rId1" Type="http://schemas.openxmlformats.org/officeDocument/2006/relationships/hyperlink" Target="https://en.wikipedia.org/wiki/Redwir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1io3yog0oux5.cloudfront.net/_35444f0b090f37152abd34e76d0d88e8/redwirespace/news/2022-05-12_Redwire_Corporation_Reports_First_Quarter_2022_56.pdf" TargetMode="External"/><Relationship Id="rId2" Type="http://schemas.openxmlformats.org/officeDocument/2006/relationships/hyperlink" Target="https://d1io3yog0oux5.cloudfront.net/_35444f0b090f37152abd34e76d0d88e8/redwirespace/news/2022-08-10_Redwire_Corporation_Reports_Second_Quarter_2022_65.pdf" TargetMode="External"/><Relationship Id="rId1" Type="http://schemas.openxmlformats.org/officeDocument/2006/relationships/hyperlink" Target="https://ir.redwirespace.com/sec-filings/all-sec-filings/content/0001819810-22-000144/rdw-20220930.htm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179-D49E-4949-9A72-224211CC16A1}">
  <dimension ref="A2:N38"/>
  <sheetViews>
    <sheetView workbookViewId="0">
      <selection activeCell="C33" sqref="C33:D37"/>
    </sheetView>
  </sheetViews>
  <sheetFormatPr defaultRowHeight="12.75"/>
  <cols>
    <col min="1" max="16384" width="9.140625" style="1"/>
  </cols>
  <sheetData>
    <row r="2" spans="1:14">
      <c r="B2" s="2" t="s">
        <v>0</v>
      </c>
      <c r="G2" s="41" t="s">
        <v>37</v>
      </c>
      <c r="H2" s="41"/>
      <c r="I2" s="41"/>
      <c r="J2" s="41"/>
      <c r="K2" s="41"/>
      <c r="L2" s="41"/>
      <c r="M2" s="41"/>
      <c r="N2" s="41"/>
    </row>
    <row r="3" spans="1:14">
      <c r="B3" s="2" t="s">
        <v>1</v>
      </c>
    </row>
    <row r="5" spans="1:14">
      <c r="B5" s="44" t="s">
        <v>2</v>
      </c>
      <c r="C5" s="45"/>
      <c r="D5" s="46"/>
      <c r="G5" s="44" t="s">
        <v>33</v>
      </c>
      <c r="H5" s="45"/>
      <c r="I5" s="45"/>
      <c r="J5" s="45"/>
      <c r="K5" s="45"/>
      <c r="L5" s="45"/>
      <c r="M5" s="45"/>
      <c r="N5" s="46"/>
    </row>
    <row r="6" spans="1:14">
      <c r="B6" s="4" t="s">
        <v>3</v>
      </c>
      <c r="C6" s="5">
        <v>3.95</v>
      </c>
      <c r="D6" s="16"/>
      <c r="G6" s="11"/>
      <c r="H6" s="7"/>
      <c r="I6" s="7"/>
      <c r="J6" s="7"/>
      <c r="K6" s="7"/>
      <c r="L6" s="7"/>
      <c r="M6" s="7"/>
      <c r="N6" s="8"/>
    </row>
    <row r="7" spans="1:14">
      <c r="B7" s="4" t="s">
        <v>4</v>
      </c>
      <c r="C7" s="14">
        <v>63.852690000000003</v>
      </c>
      <c r="D7" s="16" t="str">
        <f>$C$28</f>
        <v>Q322</v>
      </c>
      <c r="G7" s="11"/>
      <c r="H7" s="7"/>
      <c r="I7" s="7"/>
      <c r="J7" s="7"/>
      <c r="K7" s="7"/>
      <c r="L7" s="7"/>
      <c r="M7" s="7"/>
      <c r="N7" s="8"/>
    </row>
    <row r="8" spans="1:14">
      <c r="B8" s="4" t="s">
        <v>5</v>
      </c>
      <c r="C8" s="14">
        <f>C6*C7</f>
        <v>252.21812550000001</v>
      </c>
      <c r="D8" s="16"/>
      <c r="G8" s="11"/>
      <c r="H8" s="7"/>
      <c r="I8" s="7"/>
      <c r="J8" s="7"/>
      <c r="K8" s="7"/>
      <c r="L8" s="7"/>
      <c r="M8" s="7"/>
      <c r="N8" s="8"/>
    </row>
    <row r="9" spans="1:14">
      <c r="B9" s="4" t="s">
        <v>6</v>
      </c>
      <c r="C9" s="14">
        <f>'Financial Model'!J68</f>
        <v>7.0309999999999997</v>
      </c>
      <c r="D9" s="16" t="str">
        <f t="shared" ref="D9:D11" si="0">$C$28</f>
        <v>Q322</v>
      </c>
      <c r="G9" s="11"/>
      <c r="H9" s="7"/>
      <c r="I9" s="7"/>
      <c r="J9" s="7"/>
      <c r="K9" s="7"/>
      <c r="L9" s="7"/>
      <c r="M9" s="7"/>
      <c r="N9" s="8"/>
    </row>
    <row r="10" spans="1:14">
      <c r="B10" s="4" t="s">
        <v>7</v>
      </c>
      <c r="C10" s="14">
        <f>'Financial Model'!J69</f>
        <v>93.988</v>
      </c>
      <c r="D10" s="16" t="str">
        <f t="shared" si="0"/>
        <v>Q322</v>
      </c>
      <c r="G10" s="11"/>
      <c r="H10" s="7"/>
      <c r="I10" s="7"/>
      <c r="J10" s="7"/>
      <c r="K10" s="7"/>
      <c r="L10" s="7"/>
      <c r="M10" s="7"/>
      <c r="N10" s="8"/>
    </row>
    <row r="11" spans="1:14">
      <c r="B11" s="4" t="s">
        <v>8</v>
      </c>
      <c r="C11" s="14">
        <f>C9-C10</f>
        <v>-86.956999999999994</v>
      </c>
      <c r="D11" s="16" t="str">
        <f t="shared" si="0"/>
        <v>Q322</v>
      </c>
      <c r="G11" s="11"/>
      <c r="H11" s="7"/>
      <c r="I11" s="7"/>
      <c r="J11" s="7"/>
      <c r="K11" s="7"/>
      <c r="L11" s="7"/>
      <c r="M11" s="7"/>
      <c r="N11" s="8"/>
    </row>
    <row r="12" spans="1:14">
      <c r="B12" s="6" t="s">
        <v>9</v>
      </c>
      <c r="C12" s="15">
        <f>C8-C11</f>
        <v>339.17512550000004</v>
      </c>
      <c r="D12" s="17"/>
      <c r="G12" s="11"/>
      <c r="H12" s="7"/>
      <c r="I12" s="7"/>
      <c r="J12" s="7"/>
      <c r="K12" s="7"/>
      <c r="L12" s="7"/>
      <c r="M12" s="7"/>
      <c r="N12" s="8"/>
    </row>
    <row r="13" spans="1:14">
      <c r="G13" s="11"/>
      <c r="H13" s="7"/>
      <c r="I13" s="7"/>
      <c r="J13" s="7"/>
      <c r="K13" s="7"/>
      <c r="L13" s="7"/>
      <c r="M13" s="7"/>
      <c r="N13" s="8"/>
    </row>
    <row r="14" spans="1:14">
      <c r="G14" s="11"/>
      <c r="H14" s="7"/>
      <c r="I14" s="7"/>
      <c r="J14" s="7"/>
      <c r="K14" s="7"/>
      <c r="L14" s="7"/>
      <c r="M14" s="7"/>
      <c r="N14" s="8"/>
    </row>
    <row r="15" spans="1:14">
      <c r="B15" s="44" t="s">
        <v>10</v>
      </c>
      <c r="C15" s="45"/>
      <c r="D15" s="46"/>
      <c r="G15" s="11"/>
      <c r="H15" s="7"/>
      <c r="I15" s="7"/>
      <c r="J15" s="7"/>
      <c r="K15" s="7"/>
      <c r="L15" s="7"/>
      <c r="M15" s="7"/>
      <c r="N15" s="8"/>
    </row>
    <row r="16" spans="1:14">
      <c r="A16" s="1" t="s">
        <v>29</v>
      </c>
      <c r="B16" s="18" t="s">
        <v>11</v>
      </c>
      <c r="C16" s="37" t="s">
        <v>28</v>
      </c>
      <c r="D16" s="38"/>
      <c r="G16" s="11"/>
      <c r="H16" s="7"/>
      <c r="I16" s="7"/>
      <c r="J16" s="7"/>
      <c r="K16" s="7"/>
      <c r="L16" s="7"/>
      <c r="M16" s="7"/>
      <c r="N16" s="8"/>
    </row>
    <row r="17" spans="2:14">
      <c r="B17" s="18" t="s">
        <v>12</v>
      </c>
      <c r="C17" s="37" t="s">
        <v>30</v>
      </c>
      <c r="D17" s="38"/>
      <c r="G17" s="11"/>
      <c r="H17" s="7"/>
      <c r="I17" s="7"/>
      <c r="J17" s="7"/>
      <c r="K17" s="7"/>
      <c r="L17" s="7"/>
      <c r="M17" s="7"/>
      <c r="N17" s="8"/>
    </row>
    <row r="18" spans="2:14">
      <c r="B18" s="18" t="s">
        <v>13</v>
      </c>
      <c r="C18" s="37" t="s">
        <v>31</v>
      </c>
      <c r="D18" s="38"/>
      <c r="G18" s="11"/>
      <c r="H18" s="7"/>
      <c r="I18" s="7"/>
      <c r="J18" s="7"/>
      <c r="K18" s="7"/>
      <c r="L18" s="7"/>
      <c r="M18" s="7"/>
      <c r="N18" s="8"/>
    </row>
    <row r="19" spans="2:14">
      <c r="B19" s="19" t="s">
        <v>14</v>
      </c>
      <c r="C19" s="39"/>
      <c r="D19" s="40"/>
      <c r="G19" s="11"/>
      <c r="H19" s="7"/>
      <c r="I19" s="7"/>
      <c r="J19" s="7"/>
      <c r="K19" s="7"/>
      <c r="L19" s="7"/>
      <c r="M19" s="7"/>
      <c r="N19" s="8"/>
    </row>
    <row r="20" spans="2:14">
      <c r="G20" s="11"/>
      <c r="H20" s="7"/>
      <c r="I20" s="7"/>
      <c r="J20" s="7"/>
      <c r="K20" s="7"/>
      <c r="L20" s="7"/>
      <c r="M20" s="7"/>
      <c r="N20" s="8"/>
    </row>
    <row r="21" spans="2:14">
      <c r="G21" s="11"/>
      <c r="H21" s="7"/>
      <c r="I21" s="7"/>
      <c r="J21" s="7"/>
      <c r="K21" s="7"/>
      <c r="L21" s="7"/>
      <c r="M21" s="7"/>
      <c r="N21" s="8"/>
    </row>
    <row r="22" spans="2:14">
      <c r="B22" s="44" t="s">
        <v>15</v>
      </c>
      <c r="C22" s="45"/>
      <c r="D22" s="46"/>
      <c r="G22" s="11"/>
      <c r="H22" s="7"/>
      <c r="I22" s="7"/>
      <c r="J22" s="7"/>
      <c r="K22" s="7"/>
      <c r="L22" s="7"/>
      <c r="M22" s="7"/>
      <c r="N22" s="8"/>
    </row>
    <row r="23" spans="2:14">
      <c r="B23" s="11" t="s">
        <v>16</v>
      </c>
      <c r="C23" s="37" t="s">
        <v>32</v>
      </c>
      <c r="D23" s="38"/>
      <c r="G23" s="11"/>
      <c r="H23" s="7"/>
      <c r="I23" s="7"/>
      <c r="J23" s="7"/>
      <c r="K23" s="7"/>
      <c r="L23" s="7"/>
      <c r="M23" s="7"/>
      <c r="N23" s="8"/>
    </row>
    <row r="24" spans="2:14">
      <c r="B24" s="11" t="s">
        <v>17</v>
      </c>
      <c r="C24" s="37">
        <v>2020</v>
      </c>
      <c r="D24" s="38"/>
      <c r="E24" s="1" t="s">
        <v>34</v>
      </c>
      <c r="G24" s="11"/>
      <c r="H24" s="7"/>
      <c r="I24" s="7"/>
      <c r="J24" s="7"/>
      <c r="K24" s="7"/>
      <c r="L24" s="7"/>
      <c r="M24" s="7"/>
      <c r="N24" s="8"/>
    </row>
    <row r="25" spans="2:14">
      <c r="B25" s="11" t="s">
        <v>18</v>
      </c>
      <c r="C25" s="37"/>
      <c r="D25" s="38"/>
      <c r="G25" s="11"/>
      <c r="H25" s="7"/>
      <c r="I25" s="7"/>
      <c r="J25" s="7"/>
      <c r="K25" s="7"/>
      <c r="L25" s="7"/>
      <c r="M25" s="7"/>
      <c r="N25" s="8"/>
    </row>
    <row r="26" spans="2:14">
      <c r="B26" s="11"/>
      <c r="C26" s="37"/>
      <c r="D26" s="38"/>
      <c r="G26" s="11"/>
      <c r="H26" s="7"/>
      <c r="I26" s="7"/>
      <c r="J26" s="7"/>
      <c r="K26" s="7"/>
      <c r="L26" s="7"/>
      <c r="M26" s="7"/>
      <c r="N26" s="8"/>
    </row>
    <row r="27" spans="2:14">
      <c r="B27" s="11" t="s">
        <v>38</v>
      </c>
      <c r="C27" s="49" t="s">
        <v>39</v>
      </c>
      <c r="D27" s="50"/>
      <c r="G27" s="11"/>
      <c r="H27" s="7"/>
      <c r="I27" s="7"/>
      <c r="J27" s="7"/>
      <c r="K27" s="7"/>
      <c r="L27" s="7"/>
      <c r="M27" s="7"/>
      <c r="N27" s="8"/>
    </row>
    <row r="28" spans="2:14">
      <c r="B28" s="11" t="s">
        <v>19</v>
      </c>
      <c r="C28" s="13" t="s">
        <v>40</v>
      </c>
      <c r="D28" s="27">
        <v>39753</v>
      </c>
      <c r="G28" s="20">
        <v>43983</v>
      </c>
      <c r="H28" s="7" t="s">
        <v>35</v>
      </c>
      <c r="I28" s="7"/>
      <c r="J28" s="7"/>
      <c r="K28" s="7"/>
      <c r="L28" s="7"/>
      <c r="M28" s="7"/>
      <c r="N28" s="8"/>
    </row>
    <row r="29" spans="2:14">
      <c r="B29" s="12" t="s">
        <v>20</v>
      </c>
      <c r="C29" s="42" t="s">
        <v>39</v>
      </c>
      <c r="D29" s="43"/>
      <c r="G29" s="12"/>
      <c r="H29" s="21" t="s">
        <v>36</v>
      </c>
      <c r="I29" s="9"/>
      <c r="J29" s="9"/>
      <c r="K29" s="9"/>
      <c r="L29" s="9"/>
      <c r="M29" s="9"/>
      <c r="N29" s="10"/>
    </row>
    <row r="32" spans="2:14">
      <c r="B32" s="44" t="s">
        <v>21</v>
      </c>
      <c r="C32" s="45"/>
      <c r="D32" s="46"/>
    </row>
    <row r="33" spans="2:4">
      <c r="B33" s="11" t="s">
        <v>22</v>
      </c>
      <c r="C33" s="47">
        <f>C6/'Financial Model'!J66</f>
        <v>16.933667611294947</v>
      </c>
      <c r="D33" s="48"/>
    </row>
    <row r="34" spans="2:4">
      <c r="B34" s="11" t="s">
        <v>23</v>
      </c>
      <c r="C34" s="47">
        <f>C8/SUM('Financial Model'!$G$4:$J$4)</f>
        <v>1.7051097255930614</v>
      </c>
      <c r="D34" s="48"/>
    </row>
    <row r="35" spans="2:4">
      <c r="B35" s="11" t="s">
        <v>24</v>
      </c>
      <c r="C35" s="47">
        <f>C12/SUM('Financial Model'!$G$4:$J$4)</f>
        <v>2.2929787620251627</v>
      </c>
      <c r="D35" s="48"/>
    </row>
    <row r="36" spans="2:4">
      <c r="B36" s="11" t="s">
        <v>25</v>
      </c>
      <c r="C36" s="47">
        <f>C6/SUM('Financial Model'!G18:J18)</f>
        <v>-2.0081225834964362</v>
      </c>
      <c r="D36" s="48"/>
    </row>
    <row r="37" spans="2:4">
      <c r="B37" s="11" t="s">
        <v>26</v>
      </c>
      <c r="C37" s="47">
        <f>C12/SUM('Financial Model'!G17:J17)</f>
        <v>-2.8633488569402465</v>
      </c>
      <c r="D37" s="48"/>
    </row>
    <row r="38" spans="2:4">
      <c r="B38" s="12" t="s">
        <v>27</v>
      </c>
      <c r="C38" s="39"/>
      <c r="D38" s="40"/>
    </row>
  </sheetData>
  <mergeCells count="22">
    <mergeCell ref="B15:D15"/>
    <mergeCell ref="B22:D22"/>
    <mergeCell ref="C16:D16"/>
    <mergeCell ref="C17:D17"/>
    <mergeCell ref="C18:D18"/>
    <mergeCell ref="C19:D19"/>
    <mergeCell ref="C36:D36"/>
    <mergeCell ref="C37:D37"/>
    <mergeCell ref="C38:D38"/>
    <mergeCell ref="G2:N2"/>
    <mergeCell ref="C29:D29"/>
    <mergeCell ref="B32:D32"/>
    <mergeCell ref="C33:D33"/>
    <mergeCell ref="G5:N5"/>
    <mergeCell ref="C34:D34"/>
    <mergeCell ref="C35:D35"/>
    <mergeCell ref="C23:D23"/>
    <mergeCell ref="C24:D24"/>
    <mergeCell ref="C25:D25"/>
    <mergeCell ref="C26:D26"/>
    <mergeCell ref="C27:D27"/>
    <mergeCell ref="B5:D5"/>
  </mergeCells>
  <hyperlinks>
    <hyperlink ref="C27:D27" r:id="rId1" display="Link" xr:uid="{2A299CA7-25AE-4FFE-B4ED-AEF098FCE276}"/>
    <hyperlink ref="C29:D29" r:id="rId2" display="Link" xr:uid="{5A3AF97E-0894-43AD-8BC8-C465C140A6E1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0066-71C8-486E-BDC0-6D120B675537}">
  <dimension ref="A1:AE9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11" sqref="R11"/>
    </sheetView>
  </sheetViews>
  <sheetFormatPr defaultRowHeight="12.75"/>
  <cols>
    <col min="1" max="1" width="4.28515625" style="3" customWidth="1"/>
    <col min="2" max="2" width="25.140625" style="3" bestFit="1" customWidth="1"/>
    <col min="3" max="10" width="9.140625" style="3"/>
    <col min="11" max="11" width="9.140625" style="69"/>
    <col min="12" max="17" width="9.140625" style="3"/>
    <col min="18" max="18" width="9.140625" style="59"/>
    <col min="19" max="16384" width="9.140625" style="3"/>
  </cols>
  <sheetData>
    <row r="1" spans="1:31" s="22" customFormat="1">
      <c r="C1" s="22" t="s">
        <v>68</v>
      </c>
      <c r="D1" s="22" t="s">
        <v>67</v>
      </c>
      <c r="E1" s="22" t="s">
        <v>66</v>
      </c>
      <c r="F1" s="22" t="s">
        <v>65</v>
      </c>
      <c r="G1" s="22" t="s">
        <v>64</v>
      </c>
      <c r="H1" s="34" t="s">
        <v>63</v>
      </c>
      <c r="I1" s="34" t="s">
        <v>62</v>
      </c>
      <c r="J1" s="34" t="s">
        <v>40</v>
      </c>
      <c r="K1" s="62" t="s">
        <v>128</v>
      </c>
      <c r="P1" s="22" t="s">
        <v>69</v>
      </c>
      <c r="Q1" s="22" t="s">
        <v>70</v>
      </c>
      <c r="R1" s="53" t="s">
        <v>71</v>
      </c>
      <c r="S1" s="22" t="s">
        <v>72</v>
      </c>
      <c r="T1" s="22" t="s">
        <v>73</v>
      </c>
      <c r="U1" s="22" t="s">
        <v>74</v>
      </c>
      <c r="V1" s="22" t="s">
        <v>75</v>
      </c>
      <c r="W1" s="22" t="s">
        <v>76</v>
      </c>
      <c r="X1" s="22" t="s">
        <v>77</v>
      </c>
      <c r="Y1" s="22" t="s">
        <v>78</v>
      </c>
      <c r="Z1" s="22" t="s">
        <v>79</v>
      </c>
      <c r="AA1" s="22" t="s">
        <v>80</v>
      </c>
      <c r="AB1" s="22" t="s">
        <v>81</v>
      </c>
      <c r="AC1" s="22" t="s">
        <v>82</v>
      </c>
      <c r="AD1" s="22" t="s">
        <v>83</v>
      </c>
      <c r="AE1" s="22" t="s">
        <v>84</v>
      </c>
    </row>
    <row r="2" spans="1:31" s="24" customFormat="1">
      <c r="A2" s="23"/>
      <c r="C2" s="25">
        <v>44196</v>
      </c>
      <c r="D2" s="25">
        <v>44286</v>
      </c>
      <c r="E2" s="25">
        <v>44377</v>
      </c>
      <c r="F2" s="25">
        <v>44469</v>
      </c>
      <c r="G2" s="25">
        <v>44561</v>
      </c>
      <c r="H2" s="25">
        <v>44651</v>
      </c>
      <c r="I2" s="25">
        <v>44742</v>
      </c>
      <c r="J2" s="25">
        <v>44834</v>
      </c>
      <c r="K2" s="63"/>
      <c r="Q2" s="25">
        <v>44561</v>
      </c>
      <c r="R2" s="54"/>
    </row>
    <row r="3" spans="1:31" s="24" customFormat="1">
      <c r="A3" s="23"/>
      <c r="H3" s="26">
        <v>41030</v>
      </c>
      <c r="I3" s="26">
        <v>40391</v>
      </c>
      <c r="J3" s="26">
        <v>39753</v>
      </c>
      <c r="K3" s="63" t="s">
        <v>129</v>
      </c>
      <c r="Q3" s="26">
        <v>11383</v>
      </c>
      <c r="R3" s="54" t="s">
        <v>129</v>
      </c>
    </row>
    <row r="4" spans="1:31" s="33" customFormat="1">
      <c r="B4" s="33" t="s">
        <v>41</v>
      </c>
      <c r="D4" s="33">
        <v>31.698</v>
      </c>
      <c r="E4" s="33">
        <v>32.148000000000003</v>
      </c>
      <c r="F4" s="33">
        <v>32.68</v>
      </c>
      <c r="G4" s="33">
        <f>Q4-SUM(D4:F4)</f>
        <v>41.074999999999989</v>
      </c>
      <c r="H4" s="33">
        <v>32.866999999999997</v>
      </c>
      <c r="I4" s="33">
        <v>36.728000000000002</v>
      </c>
      <c r="J4" s="33">
        <v>37.249000000000002</v>
      </c>
      <c r="K4" s="64">
        <f>J4*(1+K22)</f>
        <v>44.698799999999999</v>
      </c>
      <c r="Q4" s="33">
        <v>137.601</v>
      </c>
      <c r="R4" s="55">
        <f>SUM(H4:K4)</f>
        <v>151.5428</v>
      </c>
    </row>
    <row r="5" spans="1:31" s="29" customFormat="1">
      <c r="B5" s="29" t="s">
        <v>42</v>
      </c>
      <c r="D5" s="29">
        <v>24.221</v>
      </c>
      <c r="E5" s="29">
        <v>23.533999999999999</v>
      </c>
      <c r="F5" s="29">
        <v>26.786000000000001</v>
      </c>
      <c r="G5" s="29">
        <f>Q5-SUM(D5:F5)</f>
        <v>33.683000000000007</v>
      </c>
      <c r="H5" s="29">
        <v>27.696000000000002</v>
      </c>
      <c r="I5" s="29">
        <v>29.745999999999999</v>
      </c>
      <c r="J5" s="29">
        <v>29.3</v>
      </c>
      <c r="K5" s="65">
        <f>K4*(1-K24)</f>
        <v>35.759039999999999</v>
      </c>
      <c r="Q5" s="29">
        <v>108.224</v>
      </c>
      <c r="R5" s="56">
        <f>SUM(H5:K5)</f>
        <v>122.50104</v>
      </c>
    </row>
    <row r="6" spans="1:31" s="33" customFormat="1">
      <c r="B6" s="33" t="s">
        <v>43</v>
      </c>
      <c r="C6" s="33">
        <f t="shared" ref="C6:I6" si="0">C4-C5</f>
        <v>0</v>
      </c>
      <c r="D6" s="33">
        <f t="shared" si="0"/>
        <v>7.4770000000000003</v>
      </c>
      <c r="E6" s="33">
        <f t="shared" si="0"/>
        <v>8.6140000000000043</v>
      </c>
      <c r="F6" s="33">
        <f>F4-F5</f>
        <v>5.8939999999999984</v>
      </c>
      <c r="G6" s="33">
        <f t="shared" si="0"/>
        <v>7.3919999999999817</v>
      </c>
      <c r="H6" s="33">
        <f t="shared" si="0"/>
        <v>5.1709999999999958</v>
      </c>
      <c r="I6" s="33">
        <f t="shared" si="0"/>
        <v>6.9820000000000029</v>
      </c>
      <c r="J6" s="33">
        <f>J4-J5</f>
        <v>7.9490000000000016</v>
      </c>
      <c r="K6" s="64">
        <f>K4-K5</f>
        <v>8.9397599999999997</v>
      </c>
      <c r="Q6" s="33">
        <f>Q4-Q5</f>
        <v>29.376999999999995</v>
      </c>
      <c r="R6" s="55">
        <f>R4-R5</f>
        <v>29.041759999999996</v>
      </c>
    </row>
    <row r="7" spans="1:31" s="29" customFormat="1">
      <c r="B7" s="29" t="s">
        <v>44</v>
      </c>
      <c r="D7" s="29">
        <v>11.256</v>
      </c>
      <c r="E7" s="29">
        <v>12.143000000000001</v>
      </c>
      <c r="F7" s="29">
        <v>34.332999999999998</v>
      </c>
      <c r="G7" s="29">
        <f t="shared" ref="G7:G11" si="1">Q7-SUM(D7:F7)</f>
        <v>20.962999999999994</v>
      </c>
      <c r="H7" s="29">
        <v>20.951000000000001</v>
      </c>
      <c r="I7" s="29">
        <v>17.562000000000001</v>
      </c>
      <c r="J7" s="29">
        <v>15.311999999999999</v>
      </c>
      <c r="K7" s="65">
        <f>K4*0.56</f>
        <v>25.031328000000002</v>
      </c>
      <c r="Q7" s="29">
        <v>78.694999999999993</v>
      </c>
      <c r="R7" s="56">
        <f>SUM(H7:K7)</f>
        <v>78.856328000000005</v>
      </c>
    </row>
    <row r="8" spans="1:31" s="29" customFormat="1">
      <c r="B8" s="29" t="s">
        <v>48</v>
      </c>
      <c r="D8" s="29">
        <v>0</v>
      </c>
      <c r="E8" s="29">
        <v>11.114000000000001</v>
      </c>
      <c r="F8" s="29">
        <v>0.113</v>
      </c>
      <c r="G8" s="29">
        <f t="shared" si="1"/>
        <v>0.10999999999999943</v>
      </c>
      <c r="H8" s="29">
        <v>0</v>
      </c>
      <c r="I8" s="29">
        <v>0</v>
      </c>
      <c r="J8" s="29">
        <v>0</v>
      </c>
      <c r="K8" s="65">
        <f>J8</f>
        <v>0</v>
      </c>
      <c r="Q8" s="29">
        <v>11.337</v>
      </c>
      <c r="R8" s="56">
        <f t="shared" ref="R8:R11" si="2">SUM(H8:K8)</f>
        <v>0</v>
      </c>
    </row>
    <row r="9" spans="1:31" s="29" customFormat="1">
      <c r="B9" s="29" t="s">
        <v>45</v>
      </c>
      <c r="D9" s="29">
        <v>2.4169999999999998</v>
      </c>
      <c r="E9" s="29">
        <v>2E-3</v>
      </c>
      <c r="F9" s="29">
        <v>1.1279999999999999</v>
      </c>
      <c r="G9" s="29">
        <f t="shared" si="1"/>
        <v>1.4690000000000003</v>
      </c>
      <c r="H9" s="29">
        <v>4.5999999999999999E-2</v>
      </c>
      <c r="I9" s="29">
        <v>4.8000000000000001E-2</v>
      </c>
      <c r="J9" s="29">
        <v>1.819</v>
      </c>
      <c r="K9" s="65">
        <f>AVERAGE(G9:J9)</f>
        <v>0.84550000000000014</v>
      </c>
      <c r="Q9" s="29">
        <v>5.016</v>
      </c>
      <c r="R9" s="56">
        <f t="shared" si="2"/>
        <v>2.7585000000000002</v>
      </c>
    </row>
    <row r="10" spans="1:31" s="29" customFormat="1">
      <c r="B10" s="29" t="s">
        <v>46</v>
      </c>
      <c r="D10" s="29">
        <v>0</v>
      </c>
      <c r="E10" s="29">
        <v>0</v>
      </c>
      <c r="F10" s="29">
        <v>0</v>
      </c>
      <c r="G10" s="29">
        <f t="shared" si="1"/>
        <v>0</v>
      </c>
      <c r="H10" s="29">
        <v>0</v>
      </c>
      <c r="I10" s="29">
        <v>80.462000000000003</v>
      </c>
      <c r="J10" s="29">
        <v>0</v>
      </c>
      <c r="K10" s="65">
        <v>0</v>
      </c>
      <c r="Q10" s="29">
        <v>0</v>
      </c>
      <c r="R10" s="56">
        <v>0</v>
      </c>
    </row>
    <row r="11" spans="1:31" s="29" customFormat="1">
      <c r="B11" s="29" t="s">
        <v>47</v>
      </c>
      <c r="D11" s="29">
        <v>0.996</v>
      </c>
      <c r="E11" s="29">
        <v>0.95799999999999996</v>
      </c>
      <c r="F11" s="29">
        <v>1.371</v>
      </c>
      <c r="G11" s="29">
        <f t="shared" si="1"/>
        <v>1.1909999999999998</v>
      </c>
      <c r="H11" s="29">
        <v>1.724</v>
      </c>
      <c r="I11" s="29">
        <v>1.708</v>
      </c>
      <c r="J11" s="29">
        <v>1.133</v>
      </c>
      <c r="K11" s="65">
        <f>K4*K29</f>
        <v>1.787952</v>
      </c>
      <c r="Q11" s="29">
        <v>4.516</v>
      </c>
      <c r="R11" s="56">
        <f t="shared" si="2"/>
        <v>6.3529519999999993</v>
      </c>
    </row>
    <row r="12" spans="1:31" s="33" customFormat="1">
      <c r="B12" s="33" t="s">
        <v>49</v>
      </c>
      <c r="C12" s="33">
        <f t="shared" ref="C12:I12" si="3">C6-C7-C8-C9-C10-C11</f>
        <v>0</v>
      </c>
      <c r="D12" s="33">
        <f t="shared" si="3"/>
        <v>-7.1920000000000002</v>
      </c>
      <c r="E12" s="33">
        <f t="shared" si="3"/>
        <v>-15.602999999999998</v>
      </c>
      <c r="F12" s="33">
        <f>F6-F7-F8-F9-F10-F11</f>
        <v>-31.050999999999998</v>
      </c>
      <c r="G12" s="33">
        <f t="shared" si="3"/>
        <v>-16.341000000000012</v>
      </c>
      <c r="H12" s="33">
        <f t="shared" si="3"/>
        <v>-17.550000000000004</v>
      </c>
      <c r="I12" s="33">
        <f t="shared" si="3"/>
        <v>-92.798000000000002</v>
      </c>
      <c r="J12" s="33">
        <f>J6-J7-J8-J9-J10-J11</f>
        <v>-10.314999999999998</v>
      </c>
      <c r="K12" s="64">
        <f>K6-K7-K8-K9-K10-K11</f>
        <v>-18.725020000000004</v>
      </c>
      <c r="Q12" s="33">
        <f>Q6-Q7-Q8-Q9-Q10-Q11</f>
        <v>-70.187000000000012</v>
      </c>
      <c r="R12" s="64">
        <f>R6-R7-R8-R9-R10-R11</f>
        <v>-58.926020000000008</v>
      </c>
    </row>
    <row r="13" spans="1:31" s="29" customFormat="1">
      <c r="B13" s="29" t="s">
        <v>50</v>
      </c>
      <c r="D13" s="29">
        <v>1.421</v>
      </c>
      <c r="E13" s="29">
        <v>1.77</v>
      </c>
      <c r="F13" s="29">
        <v>1.74</v>
      </c>
      <c r="G13" s="29">
        <f t="shared" ref="G13:G14" si="4">Q13-SUM(D13:F13)</f>
        <v>1.5250000000000004</v>
      </c>
      <c r="H13" s="29">
        <v>1.452</v>
      </c>
      <c r="I13" s="29">
        <v>1.67</v>
      </c>
      <c r="J13" s="29">
        <v>2.4009999999999998</v>
      </c>
      <c r="K13" s="65">
        <f>AVERAGE(G13:J13)</f>
        <v>1.762</v>
      </c>
      <c r="Q13" s="29">
        <v>6.4560000000000004</v>
      </c>
      <c r="R13" s="56">
        <f t="shared" ref="R13:R14" si="5">SUM(H13:K13)</f>
        <v>7.2850000000000001</v>
      </c>
    </row>
    <row r="14" spans="1:31" s="29" customFormat="1">
      <c r="B14" s="29" t="s">
        <v>51</v>
      </c>
      <c r="D14" s="29">
        <v>8.6999999999999994E-2</v>
      </c>
      <c r="E14" s="29">
        <v>-0.11</v>
      </c>
      <c r="F14" s="29">
        <v>-2.9569999999999999</v>
      </c>
      <c r="G14" s="29">
        <f t="shared" si="4"/>
        <v>-0.85700000000000021</v>
      </c>
      <c r="H14" s="29">
        <v>1.18</v>
      </c>
      <c r="I14" s="29">
        <v>-15.515000000000001</v>
      </c>
      <c r="J14" s="29">
        <v>-0.158</v>
      </c>
      <c r="K14" s="65">
        <f>AVERAGE(G14:J14)</f>
        <v>-3.8374999999999999</v>
      </c>
      <c r="Q14" s="29">
        <v>-3.8370000000000002</v>
      </c>
      <c r="R14" s="56">
        <f t="shared" si="5"/>
        <v>-18.330500000000001</v>
      </c>
    </row>
    <row r="15" spans="1:31" s="29" customFormat="1">
      <c r="B15" s="29" t="s">
        <v>52</v>
      </c>
      <c r="C15" s="29">
        <f t="shared" ref="C15:I15" si="6">C12-C13-C14</f>
        <v>0</v>
      </c>
      <c r="D15" s="29">
        <f t="shared" si="6"/>
        <v>-8.6999999999999993</v>
      </c>
      <c r="E15" s="29">
        <f t="shared" si="6"/>
        <v>-17.262999999999998</v>
      </c>
      <c r="F15" s="29">
        <f>F12-F13-F14</f>
        <v>-29.833999999999996</v>
      </c>
      <c r="G15" s="29">
        <f t="shared" si="6"/>
        <v>-17.009000000000015</v>
      </c>
      <c r="H15" s="29">
        <f t="shared" si="6"/>
        <v>-20.182000000000002</v>
      </c>
      <c r="I15" s="29">
        <f t="shared" si="6"/>
        <v>-78.953000000000003</v>
      </c>
      <c r="J15" s="29">
        <f>J12-J13-J14</f>
        <v>-12.557999999999998</v>
      </c>
      <c r="K15" s="65">
        <f>K12-K13-K14</f>
        <v>-16.649520000000006</v>
      </c>
      <c r="Q15" s="29">
        <f>Q12-Q13-Q14</f>
        <v>-72.806000000000012</v>
      </c>
      <c r="R15" s="65">
        <f>R12-R13-R14</f>
        <v>-47.880520000000004</v>
      </c>
    </row>
    <row r="16" spans="1:31" s="29" customFormat="1">
      <c r="B16" s="29" t="s">
        <v>53</v>
      </c>
      <c r="D16" s="29">
        <v>-1.026</v>
      </c>
      <c r="E16" s="29">
        <v>-1.3620000000000001</v>
      </c>
      <c r="F16" s="29">
        <v>-5.5819999999999999</v>
      </c>
      <c r="G16" s="29">
        <f>Q16-SUM(D16:F16)</f>
        <v>-3.2990000000000004</v>
      </c>
      <c r="H16" s="29">
        <v>-2.8889999999999998</v>
      </c>
      <c r="I16" s="29">
        <v>-1.925</v>
      </c>
      <c r="J16" s="29">
        <v>-2.1349999999999998</v>
      </c>
      <c r="K16" s="65">
        <f>K15*K27</f>
        <v>-2.4974280000000006</v>
      </c>
      <c r="Q16" s="29">
        <v>-11.269</v>
      </c>
      <c r="R16" s="56">
        <f>SUM(H16:K16)</f>
        <v>-9.4464280000000009</v>
      </c>
    </row>
    <row r="17" spans="2:18" s="33" customFormat="1">
      <c r="B17" s="33" t="s">
        <v>54</v>
      </c>
      <c r="C17" s="33">
        <f t="shared" ref="C17:I17" si="7">C15-C16</f>
        <v>0</v>
      </c>
      <c r="D17" s="33">
        <f t="shared" si="7"/>
        <v>-7.6739999999999995</v>
      </c>
      <c r="E17" s="33">
        <f t="shared" si="7"/>
        <v>-15.900999999999998</v>
      </c>
      <c r="F17" s="33">
        <f>F15-F16</f>
        <v>-24.251999999999995</v>
      </c>
      <c r="G17" s="33">
        <f t="shared" si="7"/>
        <v>-13.710000000000015</v>
      </c>
      <c r="H17" s="33">
        <f t="shared" si="7"/>
        <v>-17.293000000000003</v>
      </c>
      <c r="I17" s="33">
        <f t="shared" si="7"/>
        <v>-77.028000000000006</v>
      </c>
      <c r="J17" s="33">
        <f>J15-J16</f>
        <v>-10.422999999999998</v>
      </c>
      <c r="K17" s="64">
        <f>K15-K16</f>
        <v>-14.152092000000005</v>
      </c>
      <c r="Q17" s="33">
        <f>Q15-Q16</f>
        <v>-61.537000000000013</v>
      </c>
      <c r="R17" s="64">
        <f>R15-R16</f>
        <v>-38.434092000000007</v>
      </c>
    </row>
    <row r="18" spans="2:18" s="31" customFormat="1">
      <c r="B18" s="31" t="s">
        <v>55</v>
      </c>
      <c r="D18" s="31">
        <f>D17/D19</f>
        <v>-0.20629032258064514</v>
      </c>
      <c r="E18" s="31">
        <f>E17/E19</f>
        <v>-0.42744623655913971</v>
      </c>
      <c r="F18" s="31">
        <f>F17/F19</f>
        <v>-0.55073071965599074</v>
      </c>
      <c r="G18" s="31">
        <f>G17/G19</f>
        <v>-0.30410883644898157</v>
      </c>
      <c r="H18" s="31">
        <f>H17/H19</f>
        <v>-0.27584559403698811</v>
      </c>
      <c r="I18" s="31">
        <f>I17/I19</f>
        <v>-1.2228131325063158</v>
      </c>
      <c r="J18" s="31">
        <f>J17/J19</f>
        <v>-0.16424382986923508</v>
      </c>
      <c r="K18" s="66">
        <f>K17/K19</f>
        <v>-0.22300621613180119</v>
      </c>
      <c r="Q18" s="31">
        <f>Q17/Q19</f>
        <v>-1.3649850815872329</v>
      </c>
      <c r="R18" s="57">
        <f>R17/R19</f>
        <v>-0.60563776912851686</v>
      </c>
    </row>
    <row r="19" spans="2:18" s="29" customFormat="1">
      <c r="B19" s="29" t="s">
        <v>4</v>
      </c>
      <c r="D19" s="29">
        <v>37.200000000000003</v>
      </c>
      <c r="E19" s="29">
        <v>37.200000000000003</v>
      </c>
      <c r="F19" s="29">
        <v>44.03604</v>
      </c>
      <c r="G19" s="29">
        <f>Q19</f>
        <v>45.082543999999999</v>
      </c>
      <c r="H19" s="29">
        <v>62.690868999999999</v>
      </c>
      <c r="I19" s="29">
        <v>62.992454000000002</v>
      </c>
      <c r="J19" s="29">
        <v>63.460526999999999</v>
      </c>
      <c r="K19" s="65">
        <f>J19</f>
        <v>63.460526999999999</v>
      </c>
      <c r="Q19" s="29">
        <v>45.082543999999999</v>
      </c>
      <c r="R19" s="56">
        <f>K19</f>
        <v>63.460526999999999</v>
      </c>
    </row>
    <row r="21" spans="2:18" s="28" customFormat="1">
      <c r="B21" s="28" t="s">
        <v>56</v>
      </c>
      <c r="F21" s="30"/>
      <c r="H21" s="32">
        <f>H4/D4-1</f>
        <v>3.6879298378446501E-2</v>
      </c>
      <c r="I21" s="32">
        <f>I4/E4-1</f>
        <v>0.14246609431379853</v>
      </c>
      <c r="J21" s="32">
        <f>J4/F4-1</f>
        <v>0.13981028151774799</v>
      </c>
      <c r="K21" s="67"/>
      <c r="R21" s="58">
        <f>R4/Q4-1</f>
        <v>0.10132048458950149</v>
      </c>
    </row>
    <row r="22" spans="2:18">
      <c r="B22" s="3" t="s">
        <v>57</v>
      </c>
      <c r="E22" s="30">
        <f>E4/D4-1</f>
        <v>1.4196479273140383E-2</v>
      </c>
      <c r="F22" s="30">
        <f>F4/E4-1</f>
        <v>1.6548463356973908E-2</v>
      </c>
      <c r="G22" s="30">
        <f t="shared" ref="G22:H22" si="8">G4/F4-1</f>
        <v>0.25688494492044023</v>
      </c>
      <c r="H22" s="30">
        <f t="shared" si="8"/>
        <v>-0.19982958003651841</v>
      </c>
      <c r="I22" s="30">
        <f>I4/H4-1</f>
        <v>0.1174734536160893</v>
      </c>
      <c r="J22" s="30">
        <f>J4/I4-1</f>
        <v>1.4185362666085943E-2</v>
      </c>
      <c r="K22" s="68">
        <v>0.2</v>
      </c>
      <c r="Q22" s="51" t="s">
        <v>127</v>
      </c>
      <c r="R22" s="71" t="s">
        <v>127</v>
      </c>
    </row>
    <row r="24" spans="2:18">
      <c r="B24" s="3" t="s">
        <v>58</v>
      </c>
      <c r="D24" s="30">
        <f t="shared" ref="D24:E24" si="9">D6/D4</f>
        <v>0.23588239005615497</v>
      </c>
      <c r="E24" s="30">
        <f t="shared" ref="E24:F24" si="10">E6/E4</f>
        <v>0.26794823939280837</v>
      </c>
      <c r="F24" s="30">
        <f>F6/F4</f>
        <v>0.18035495716034267</v>
      </c>
      <c r="G24" s="30">
        <f t="shared" ref="G24" si="11">G6/G4</f>
        <v>0.17996348143639643</v>
      </c>
      <c r="H24" s="30">
        <f t="shared" ref="H24:I24" si="12">H6/H4</f>
        <v>0.15733106155109977</v>
      </c>
      <c r="I24" s="30">
        <f t="shared" ref="I24:J24" si="13">I6/I4</f>
        <v>0.19010019603572215</v>
      </c>
      <c r="J24" s="30">
        <f>J6/J4</f>
        <v>0.21340170205911571</v>
      </c>
      <c r="K24" s="68">
        <v>0.2</v>
      </c>
      <c r="Q24" s="30">
        <f>Q6/Q4</f>
        <v>0.21349408797901176</v>
      </c>
      <c r="R24" s="68">
        <v>0.2</v>
      </c>
    </row>
    <row r="25" spans="2:18">
      <c r="B25" s="3" t="s">
        <v>59</v>
      </c>
      <c r="D25" s="30">
        <f t="shared" ref="D25:E25" si="14">D12/D4</f>
        <v>-0.22689128651649948</v>
      </c>
      <c r="E25" s="30">
        <f t="shared" ref="E25:F25" si="15">E12/E4</f>
        <v>-0.48534901082493459</v>
      </c>
      <c r="F25" s="30">
        <f>F12/F4</f>
        <v>-0.95015299877600978</v>
      </c>
      <c r="G25" s="30">
        <f t="shared" ref="G25" si="16">G12/G4</f>
        <v>-0.39783323189287928</v>
      </c>
      <c r="H25" s="30">
        <f t="shared" ref="H25:I25" si="17">H12/H4</f>
        <v>-0.53397024370949597</v>
      </c>
      <c r="I25" s="30">
        <f t="shared" ref="I25:J25" si="18">I12/I4</f>
        <v>-2.5266281855804835</v>
      </c>
      <c r="J25" s="30">
        <f>J12/J4</f>
        <v>-0.27692018577679928</v>
      </c>
      <c r="K25" s="68">
        <f>K12/K4</f>
        <v>-0.41891549661288457</v>
      </c>
      <c r="Q25" s="30">
        <f>Q12/Q4</f>
        <v>-0.51007623491108356</v>
      </c>
      <c r="R25" s="68">
        <f>R12/R4</f>
        <v>-0.38884077633513442</v>
      </c>
    </row>
    <row r="26" spans="2:18">
      <c r="B26" s="3" t="s">
        <v>60</v>
      </c>
      <c r="D26" s="30">
        <f t="shared" ref="D26:E26" si="19">D17/D4</f>
        <v>-0.24209729320461856</v>
      </c>
      <c r="E26" s="30">
        <f t="shared" ref="E26:F26" si="20">E17/E4</f>
        <v>-0.49461863879557039</v>
      </c>
      <c r="F26" s="30">
        <f>F17/F4</f>
        <v>-0.7421052631578946</v>
      </c>
      <c r="G26" s="30">
        <f t="shared" ref="G26" si="21">G17/G4</f>
        <v>-0.33377967133292802</v>
      </c>
      <c r="H26" s="30">
        <f t="shared" ref="H26:I26" si="22">H17/H4</f>
        <v>-0.52615085039705489</v>
      </c>
      <c r="I26" s="30">
        <f t="shared" ref="I26:J26" si="23">I17/I4</f>
        <v>-2.0972554998910913</v>
      </c>
      <c r="J26" s="30">
        <f>J17/J4</f>
        <v>-0.27981959247228105</v>
      </c>
      <c r="K26" s="68">
        <f>K17/K4</f>
        <v>-0.3166101103385327</v>
      </c>
      <c r="Q26" s="30">
        <f>Q17/Q4</f>
        <v>-0.44721331967064204</v>
      </c>
      <c r="R26" s="68">
        <f>R17/R4</f>
        <v>-0.25361872685472359</v>
      </c>
    </row>
    <row r="27" spans="2:18">
      <c r="B27" s="3" t="s">
        <v>61</v>
      </c>
      <c r="D27" s="30">
        <f t="shared" ref="D27:E27" si="24">D16/D15</f>
        <v>0.11793103448275863</v>
      </c>
      <c r="E27" s="30">
        <f t="shared" ref="E27:F27" si="25">E16/E15</f>
        <v>7.889706308289407E-2</v>
      </c>
      <c r="F27" s="30">
        <f>F16/F15</f>
        <v>0.1871019642019173</v>
      </c>
      <c r="G27" s="30">
        <f t="shared" ref="G27" si="26">G16/G15</f>
        <v>0.1939561408665999</v>
      </c>
      <c r="H27" s="30">
        <f t="shared" ref="H27:I27" si="27">H16/H15</f>
        <v>0.14314735903280149</v>
      </c>
      <c r="I27" s="30">
        <f t="shared" ref="I27:J27" si="28">I16/I15</f>
        <v>2.4381594112953275E-2</v>
      </c>
      <c r="J27" s="30">
        <f>J16/J15</f>
        <v>0.17001114827201785</v>
      </c>
      <c r="K27" s="68">
        <v>0.15</v>
      </c>
      <c r="Q27" s="30">
        <f>Q16/Q15</f>
        <v>0.15478119935170176</v>
      </c>
      <c r="R27" s="68">
        <v>0.15</v>
      </c>
    </row>
    <row r="29" spans="2:18" s="30" customFormat="1">
      <c r="B29" s="30" t="s">
        <v>126</v>
      </c>
      <c r="D29" s="30">
        <f t="shared" ref="D29:F29" si="29">D11/D4</f>
        <v>3.142154079121711E-2</v>
      </c>
      <c r="E29" s="30">
        <f t="shared" si="29"/>
        <v>2.9799676496205046E-2</v>
      </c>
      <c r="F29" s="30">
        <f t="shared" si="29"/>
        <v>4.1952264381884943E-2</v>
      </c>
      <c r="G29" s="30">
        <f t="shared" ref="G29" si="30">G11/G4</f>
        <v>2.8995739500912967E-2</v>
      </c>
      <c r="H29" s="30">
        <f t="shared" ref="H29:J29" si="31">H11/H4</f>
        <v>5.2453829068670708E-2</v>
      </c>
      <c r="I29" s="30">
        <f t="shared" si="31"/>
        <v>4.6504029623175777E-2</v>
      </c>
      <c r="J29" s="30">
        <f>J11/J4</f>
        <v>3.0416923944266958E-2</v>
      </c>
      <c r="K29" s="68">
        <v>0.04</v>
      </c>
      <c r="Q29" s="30">
        <f>Q11/Q4</f>
        <v>3.2819528927842095E-2</v>
      </c>
      <c r="R29" s="60">
        <f>R11/R4</f>
        <v>4.1921833303858708E-2</v>
      </c>
    </row>
    <row r="32" spans="2:18">
      <c r="B32" s="35" t="s">
        <v>85</v>
      </c>
    </row>
    <row r="33" spans="2:18" s="28" customFormat="1">
      <c r="B33" s="28" t="s">
        <v>6</v>
      </c>
      <c r="G33" s="33">
        <v>20.523</v>
      </c>
      <c r="H33" s="33">
        <v>5.9379999999999997</v>
      </c>
      <c r="I33" s="33">
        <v>10.879</v>
      </c>
      <c r="J33" s="33">
        <v>7.0309999999999997</v>
      </c>
      <c r="K33" s="70"/>
      <c r="Q33" s="33">
        <f>G33</f>
        <v>20.523</v>
      </c>
      <c r="R33" s="61"/>
    </row>
    <row r="34" spans="2:18">
      <c r="B34" s="3" t="s">
        <v>86</v>
      </c>
      <c r="G34" s="29">
        <v>16.262</v>
      </c>
      <c r="H34" s="29">
        <v>11.984</v>
      </c>
      <c r="I34" s="29">
        <v>12.702</v>
      </c>
      <c r="J34" s="29">
        <v>16.521000000000001</v>
      </c>
      <c r="Q34" s="29">
        <f>G34</f>
        <v>16.262</v>
      </c>
    </row>
    <row r="35" spans="2:18">
      <c r="B35" s="3" t="s">
        <v>87</v>
      </c>
      <c r="G35" s="29">
        <v>11.747999999999999</v>
      </c>
      <c r="H35" s="29">
        <v>17.492000000000001</v>
      </c>
      <c r="I35" s="29">
        <v>14.747</v>
      </c>
      <c r="J35" s="29">
        <v>16.318999999999999</v>
      </c>
      <c r="Q35" s="29">
        <f t="shared" ref="Q35:Q44" si="32">G35</f>
        <v>11.747999999999999</v>
      </c>
    </row>
    <row r="36" spans="2:18">
      <c r="B36" s="3" t="s">
        <v>88</v>
      </c>
      <c r="G36" s="29">
        <v>0.68799999999999994</v>
      </c>
      <c r="H36" s="29">
        <v>1.022</v>
      </c>
      <c r="I36" s="29">
        <v>1.681</v>
      </c>
      <c r="J36" s="29">
        <v>2.0289999999999999</v>
      </c>
      <c r="Q36" s="29">
        <f t="shared" si="32"/>
        <v>0.68799999999999994</v>
      </c>
    </row>
    <row r="37" spans="2:18">
      <c r="B37" s="3" t="s">
        <v>89</v>
      </c>
      <c r="G37" s="29">
        <v>0.68799999999999994</v>
      </c>
      <c r="H37" s="29">
        <v>0.68799999999999994</v>
      </c>
      <c r="I37" s="29">
        <v>0.66800000000000004</v>
      </c>
      <c r="J37" s="29">
        <v>0.68799999999999994</v>
      </c>
      <c r="Q37" s="29">
        <f t="shared" si="32"/>
        <v>0.68799999999999994</v>
      </c>
    </row>
    <row r="38" spans="2:18">
      <c r="B38" s="3" t="s">
        <v>90</v>
      </c>
      <c r="G38" s="29">
        <v>2.819</v>
      </c>
      <c r="H38" s="29">
        <v>1.752</v>
      </c>
      <c r="I38" s="29">
        <v>0.69199999999999995</v>
      </c>
      <c r="J38" s="29">
        <v>3.0459999999999998</v>
      </c>
      <c r="Q38" s="29">
        <f t="shared" si="32"/>
        <v>2.819</v>
      </c>
    </row>
    <row r="39" spans="2:18">
      <c r="B39" s="3" t="s">
        <v>91</v>
      </c>
      <c r="G39" s="29">
        <v>2.488</v>
      </c>
      <c r="H39" s="29">
        <v>4.593</v>
      </c>
      <c r="I39" s="29">
        <v>4.0730000000000004</v>
      </c>
      <c r="J39" s="29">
        <v>3.7250000000000001</v>
      </c>
      <c r="Q39" s="29">
        <f t="shared" si="32"/>
        <v>2.488</v>
      </c>
    </row>
    <row r="40" spans="2:18">
      <c r="B40" s="3" t="s">
        <v>92</v>
      </c>
      <c r="C40" s="3">
        <f t="shared" ref="C40:I40" si="33">SUM(C33:C39)</f>
        <v>0</v>
      </c>
      <c r="D40" s="3">
        <f t="shared" si="33"/>
        <v>0</v>
      </c>
      <c r="E40" s="3">
        <f t="shared" si="33"/>
        <v>0</v>
      </c>
      <c r="F40" s="3">
        <f t="shared" si="33"/>
        <v>0</v>
      </c>
      <c r="G40" s="29">
        <f t="shared" si="33"/>
        <v>55.216000000000001</v>
      </c>
      <c r="H40" s="29">
        <f t="shared" si="33"/>
        <v>43.469000000000008</v>
      </c>
      <c r="I40" s="29">
        <f t="shared" si="33"/>
        <v>45.442</v>
      </c>
      <c r="J40" s="29">
        <f>SUM(J33:J39)</f>
        <v>49.358999999999995</v>
      </c>
      <c r="Q40" s="29">
        <f t="shared" ref="Q40" si="34">SUM(Q33:Q39)</f>
        <v>55.216000000000001</v>
      </c>
    </row>
    <row r="41" spans="2:18">
      <c r="B41" s="3" t="s">
        <v>93</v>
      </c>
      <c r="G41" s="29">
        <v>19.384</v>
      </c>
      <c r="H41" s="29">
        <v>18.786000000000001</v>
      </c>
      <c r="I41" s="29">
        <v>5.8239999999999998</v>
      </c>
      <c r="J41" s="29">
        <v>6.6970000000000001</v>
      </c>
      <c r="Q41" s="29">
        <f t="shared" si="32"/>
        <v>19.384</v>
      </c>
    </row>
    <row r="42" spans="2:18">
      <c r="B42" s="3" t="s">
        <v>94</v>
      </c>
      <c r="G42" s="29">
        <v>0</v>
      </c>
      <c r="H42" s="29">
        <v>12.984999999999999</v>
      </c>
      <c r="I42" s="29">
        <v>12.08</v>
      </c>
      <c r="J42" s="29">
        <v>14.782999999999999</v>
      </c>
      <c r="Q42" s="29">
        <f t="shared" si="32"/>
        <v>0</v>
      </c>
    </row>
    <row r="43" spans="2:18">
      <c r="B43" s="3" t="s">
        <v>95</v>
      </c>
      <c r="G43" s="29">
        <f>90.842+96.314</f>
        <v>187.15600000000001</v>
      </c>
      <c r="H43" s="29">
        <f>96.23+88.352</f>
        <v>184.58199999999999</v>
      </c>
      <c r="I43" s="29">
        <f>57.724+56.752</f>
        <v>114.476</v>
      </c>
      <c r="J43" s="29">
        <f>56.207+56.71</f>
        <v>112.917</v>
      </c>
      <c r="Q43" s="29">
        <f t="shared" si="32"/>
        <v>187.15600000000001</v>
      </c>
    </row>
    <row r="44" spans="2:18">
      <c r="B44" s="3" t="s">
        <v>96</v>
      </c>
      <c r="G44" s="29">
        <v>0</v>
      </c>
      <c r="H44" s="29">
        <v>0</v>
      </c>
      <c r="I44" s="29">
        <v>0.75600000000000001</v>
      </c>
      <c r="J44" s="29">
        <v>0.61599999999999999</v>
      </c>
      <c r="Q44" s="29">
        <f t="shared" si="32"/>
        <v>0</v>
      </c>
    </row>
    <row r="45" spans="2:18">
      <c r="B45" s="3" t="s">
        <v>97</v>
      </c>
      <c r="C45" s="3">
        <f t="shared" ref="C45:I45" si="35">C40+SUM(C41:C44)</f>
        <v>0</v>
      </c>
      <c r="D45" s="3">
        <f t="shared" si="35"/>
        <v>0</v>
      </c>
      <c r="E45" s="3">
        <f t="shared" si="35"/>
        <v>0</v>
      </c>
      <c r="F45" s="3">
        <f t="shared" si="35"/>
        <v>0</v>
      </c>
      <c r="G45" s="29">
        <f t="shared" si="35"/>
        <v>261.75600000000003</v>
      </c>
      <c r="H45" s="29">
        <f t="shared" si="35"/>
        <v>259.822</v>
      </c>
      <c r="I45" s="29">
        <f t="shared" si="35"/>
        <v>178.578</v>
      </c>
      <c r="J45" s="29">
        <f>J40+SUM(J41:J44)</f>
        <v>184.37200000000001</v>
      </c>
      <c r="Q45" s="29">
        <f t="shared" ref="Q45" si="36">Q40+SUM(Q41:Q44)</f>
        <v>261.75600000000003</v>
      </c>
    </row>
    <row r="46" spans="2:18">
      <c r="J46" s="29"/>
      <c r="Q46" s="29"/>
    </row>
    <row r="47" spans="2:18">
      <c r="B47" s="3" t="s">
        <v>98</v>
      </c>
      <c r="G47" s="29">
        <v>13.131</v>
      </c>
      <c r="H47" s="29">
        <v>13.904999999999999</v>
      </c>
      <c r="I47" s="29">
        <v>18.408000000000001</v>
      </c>
      <c r="J47" s="29">
        <v>17.594999999999999</v>
      </c>
      <c r="Q47" s="29">
        <f t="shared" ref="Q47:Q53" si="37">G47</f>
        <v>13.131</v>
      </c>
    </row>
    <row r="48" spans="2:18" s="28" customFormat="1">
      <c r="B48" s="28" t="s">
        <v>99</v>
      </c>
      <c r="G48" s="33">
        <v>1</v>
      </c>
      <c r="H48" s="33">
        <v>1</v>
      </c>
      <c r="I48" s="33">
        <v>1</v>
      </c>
      <c r="J48" s="33">
        <v>1</v>
      </c>
      <c r="K48" s="70"/>
      <c r="Q48" s="33">
        <f t="shared" si="37"/>
        <v>1</v>
      </c>
      <c r="R48" s="61"/>
    </row>
    <row r="49" spans="2:18" s="28" customFormat="1">
      <c r="B49" s="28" t="s">
        <v>100</v>
      </c>
      <c r="G49" s="33">
        <v>2.6840000000000002</v>
      </c>
      <c r="H49" s="33">
        <v>1.542</v>
      </c>
      <c r="I49" s="33">
        <v>0.78</v>
      </c>
      <c r="J49" s="33">
        <v>3.476</v>
      </c>
      <c r="K49" s="70"/>
      <c r="Q49" s="33">
        <f t="shared" si="37"/>
        <v>2.6840000000000002</v>
      </c>
      <c r="R49" s="61"/>
    </row>
    <row r="50" spans="2:18">
      <c r="B50" s="3" t="s">
        <v>101</v>
      </c>
      <c r="G50" s="29">
        <v>0</v>
      </c>
      <c r="H50" s="29">
        <v>2.871</v>
      </c>
      <c r="I50" s="29">
        <v>2.9039999999999999</v>
      </c>
      <c r="J50" s="29">
        <v>3.484</v>
      </c>
      <c r="Q50" s="29">
        <f t="shared" si="37"/>
        <v>0</v>
      </c>
    </row>
    <row r="51" spans="2:18">
      <c r="B51" s="3" t="s">
        <v>102</v>
      </c>
      <c r="G51" s="29">
        <v>17.117999999999999</v>
      </c>
      <c r="H51" s="29">
        <v>19.323</v>
      </c>
      <c r="I51" s="29">
        <v>14.587999999999999</v>
      </c>
      <c r="J51" s="29">
        <v>18.908999999999999</v>
      </c>
      <c r="Q51" s="29">
        <f t="shared" si="37"/>
        <v>17.117999999999999</v>
      </c>
    </row>
    <row r="52" spans="2:18">
      <c r="B52" s="3" t="s">
        <v>103</v>
      </c>
      <c r="G52" s="29">
        <v>15.734</v>
      </c>
      <c r="H52" s="29">
        <v>13.929</v>
      </c>
      <c r="I52" s="29">
        <v>15.8223</v>
      </c>
      <c r="J52" s="29">
        <v>17.373000000000001</v>
      </c>
      <c r="Q52" s="29">
        <f t="shared" si="37"/>
        <v>15.734</v>
      </c>
    </row>
    <row r="53" spans="2:18">
      <c r="B53" s="3" t="s">
        <v>104</v>
      </c>
      <c r="G53" s="29">
        <v>1.571</v>
      </c>
      <c r="H53" s="29">
        <v>1.3089999999999999</v>
      </c>
      <c r="I53" s="29">
        <v>1.829</v>
      </c>
      <c r="J53" s="29">
        <v>1.786</v>
      </c>
      <c r="Q53" s="29">
        <f t="shared" si="37"/>
        <v>1.571</v>
      </c>
    </row>
    <row r="54" spans="2:18">
      <c r="B54" s="3" t="s">
        <v>105</v>
      </c>
      <c r="C54" s="3">
        <f t="shared" ref="C54:I54" si="38">SUM(C47:C53)</f>
        <v>0</v>
      </c>
      <c r="D54" s="3">
        <f t="shared" si="38"/>
        <v>0</v>
      </c>
      <c r="E54" s="3">
        <f t="shared" si="38"/>
        <v>0</v>
      </c>
      <c r="F54" s="3">
        <f t="shared" si="38"/>
        <v>0</v>
      </c>
      <c r="G54" s="29">
        <f t="shared" si="38"/>
        <v>51.238</v>
      </c>
      <c r="H54" s="29">
        <f t="shared" si="38"/>
        <v>53.878999999999998</v>
      </c>
      <c r="I54" s="29">
        <f t="shared" si="38"/>
        <v>55.331299999999999</v>
      </c>
      <c r="J54" s="29">
        <f>SUM(J47:J53)</f>
        <v>63.623000000000005</v>
      </c>
      <c r="Q54" s="29">
        <f t="shared" ref="Q54" si="39">SUM(Q47:Q53)</f>
        <v>51.238</v>
      </c>
    </row>
    <row r="55" spans="2:18" s="28" customFormat="1">
      <c r="B55" s="28" t="s">
        <v>106</v>
      </c>
      <c r="G55" s="33">
        <v>74.867000000000004</v>
      </c>
      <c r="H55" s="33">
        <v>74.745000000000005</v>
      </c>
      <c r="I55" s="33">
        <v>84.625</v>
      </c>
      <c r="J55" s="33">
        <v>89.512</v>
      </c>
      <c r="K55" s="70"/>
      <c r="Q55" s="33">
        <f>G55</f>
        <v>74.867000000000004</v>
      </c>
      <c r="R55" s="61"/>
    </row>
    <row r="56" spans="2:18">
      <c r="B56" s="3" t="s">
        <v>107</v>
      </c>
      <c r="G56" s="29">
        <v>0</v>
      </c>
      <c r="H56" s="29">
        <v>10.372999999999999</v>
      </c>
      <c r="I56" s="29">
        <v>9.5030000000000001</v>
      </c>
      <c r="J56" s="29">
        <v>11.379</v>
      </c>
      <c r="Q56" s="29">
        <f t="shared" ref="Q56:Q59" si="40">G56</f>
        <v>0</v>
      </c>
    </row>
    <row r="57" spans="2:18">
      <c r="B57" s="3" t="s">
        <v>108</v>
      </c>
      <c r="G57" s="29">
        <v>19.097999999999999</v>
      </c>
      <c r="H57" s="29">
        <v>20.335999999999999</v>
      </c>
      <c r="I57" s="29">
        <v>3.9430000000000001</v>
      </c>
      <c r="J57" s="29">
        <v>3.093</v>
      </c>
      <c r="Q57" s="29">
        <f t="shared" si="40"/>
        <v>19.097999999999999</v>
      </c>
    </row>
    <row r="58" spans="2:18">
      <c r="B58" s="3" t="s">
        <v>109</v>
      </c>
      <c r="G58" s="29">
        <v>8.6010000000000009</v>
      </c>
      <c r="H58" s="29">
        <v>5.6680000000000001</v>
      </c>
      <c r="I58" s="29">
        <v>3.7719999999999998</v>
      </c>
      <c r="J58" s="29">
        <v>1.637</v>
      </c>
      <c r="Q58" s="29">
        <f t="shared" si="40"/>
        <v>8.6010000000000009</v>
      </c>
    </row>
    <row r="59" spans="2:18">
      <c r="B59" s="3" t="s">
        <v>110</v>
      </c>
      <c r="G59" s="29">
        <v>0.73</v>
      </c>
      <c r="H59" s="29">
        <v>0.60899999999999999</v>
      </c>
      <c r="I59" s="29">
        <v>0.32500000000000001</v>
      </c>
      <c r="J59" s="29">
        <v>0.32500000000000001</v>
      </c>
      <c r="Q59" s="29">
        <f t="shared" si="40"/>
        <v>0.73</v>
      </c>
    </row>
    <row r="60" spans="2:18">
      <c r="B60" s="3" t="s">
        <v>111</v>
      </c>
      <c r="C60" s="3">
        <f t="shared" ref="C60:I60" si="41">SUM(C54:C59)</f>
        <v>0</v>
      </c>
      <c r="D60" s="3">
        <f t="shared" si="41"/>
        <v>0</v>
      </c>
      <c r="E60" s="3">
        <f t="shared" si="41"/>
        <v>0</v>
      </c>
      <c r="F60" s="3">
        <f t="shared" si="41"/>
        <v>0</v>
      </c>
      <c r="G60" s="29">
        <f t="shared" si="41"/>
        <v>154.53399999999999</v>
      </c>
      <c r="H60" s="29">
        <f t="shared" si="41"/>
        <v>165.60999999999999</v>
      </c>
      <c r="I60" s="29">
        <f t="shared" si="41"/>
        <v>157.49929999999998</v>
      </c>
      <c r="J60" s="29">
        <f>SUM(J54:J59)</f>
        <v>169.56899999999996</v>
      </c>
      <c r="Q60" s="29">
        <f t="shared" ref="Q60" si="42">SUM(Q54:Q59)</f>
        <v>154.53399999999999</v>
      </c>
    </row>
    <row r="61" spans="2:18">
      <c r="H61" s="29"/>
      <c r="J61" s="29"/>
    </row>
    <row r="62" spans="2:18">
      <c r="B62" s="3" t="s">
        <v>112</v>
      </c>
      <c r="G62" s="29">
        <v>107.22199999999999</v>
      </c>
      <c r="H62" s="29">
        <v>94.212000000000003</v>
      </c>
      <c r="I62" s="29">
        <v>21.097999999999999</v>
      </c>
      <c r="J62" s="29">
        <v>14.803000000000001</v>
      </c>
      <c r="Q62" s="29">
        <f>G62</f>
        <v>107.22199999999999</v>
      </c>
    </row>
    <row r="63" spans="2:18">
      <c r="B63" s="3" t="s">
        <v>113</v>
      </c>
      <c r="G63" s="29">
        <f t="shared" ref="G63" si="43">G62+G60</f>
        <v>261.75599999999997</v>
      </c>
      <c r="H63" s="29">
        <f>H62+H60</f>
        <v>259.822</v>
      </c>
      <c r="I63" s="29">
        <f>I62+I60</f>
        <v>178.59729999999996</v>
      </c>
      <c r="J63" s="29">
        <f>J62+J60</f>
        <v>184.37199999999996</v>
      </c>
      <c r="Q63" s="29">
        <f>Q62+Q60</f>
        <v>261.75599999999997</v>
      </c>
    </row>
    <row r="65" spans="1:17">
      <c r="B65" s="3" t="s">
        <v>114</v>
      </c>
      <c r="G65" s="29">
        <f t="shared" ref="G65:H65" si="44">G45-G60</f>
        <v>107.22200000000004</v>
      </c>
      <c r="H65" s="29">
        <f t="shared" ref="H65:I65" si="45">H45-H60</f>
        <v>94.212000000000018</v>
      </c>
      <c r="I65" s="29">
        <f>I45-I60</f>
        <v>21.078700000000026</v>
      </c>
      <c r="J65" s="29">
        <f>J45-J60</f>
        <v>14.803000000000054</v>
      </c>
      <c r="Q65" s="29">
        <f>Q45-Q60</f>
        <v>107.22200000000004</v>
      </c>
    </row>
    <row r="66" spans="1:17">
      <c r="B66" s="3" t="s">
        <v>115</v>
      </c>
      <c r="G66" s="3">
        <f t="shared" ref="G66" si="46">G65/G19</f>
        <v>2.3783484800680288</v>
      </c>
      <c r="H66" s="3">
        <f t="shared" ref="H66" si="47">H65/H19</f>
        <v>1.5028025851739273</v>
      </c>
      <c r="I66" s="3">
        <f>I65/I19</f>
        <v>0.33462262003636223</v>
      </c>
      <c r="J66" s="3">
        <f>J65/J19</f>
        <v>0.23326311172928102</v>
      </c>
      <c r="Q66" s="3">
        <f>Q65/Q19</f>
        <v>2.3783484800680288</v>
      </c>
    </row>
    <row r="68" spans="1:17">
      <c r="B68" s="3" t="s">
        <v>6</v>
      </c>
      <c r="G68" s="29">
        <f t="shared" ref="G68:H68" si="48">G33</f>
        <v>20.523</v>
      </c>
      <c r="H68" s="29">
        <f t="shared" ref="H68:I68" si="49">H33</f>
        <v>5.9379999999999997</v>
      </c>
      <c r="I68" s="29">
        <f t="shared" ref="I68:J68" si="50">I33</f>
        <v>10.879</v>
      </c>
      <c r="J68" s="29">
        <f>J33</f>
        <v>7.0309999999999997</v>
      </c>
      <c r="Q68" s="29">
        <f>Q33</f>
        <v>20.523</v>
      </c>
    </row>
    <row r="69" spans="1:17">
      <c r="B69" s="3" t="s">
        <v>7</v>
      </c>
      <c r="G69" s="29">
        <f t="shared" ref="G69:H69" si="51">G48+G49+G55</f>
        <v>78.551000000000002</v>
      </c>
      <c r="H69" s="29">
        <f t="shared" ref="H69:I69" si="52">H48+H49+H55</f>
        <v>77.287000000000006</v>
      </c>
      <c r="I69" s="29">
        <f t="shared" ref="I69:J69" si="53">I48+I49+I55</f>
        <v>86.405000000000001</v>
      </c>
      <c r="J69" s="29">
        <f>J48+J49+J55</f>
        <v>93.988</v>
      </c>
      <c r="Q69" s="29">
        <f>Q48+Q49+Q55</f>
        <v>78.551000000000002</v>
      </c>
    </row>
    <row r="70" spans="1:17">
      <c r="B70" s="3" t="s">
        <v>8</v>
      </c>
      <c r="G70" s="29">
        <f t="shared" ref="G70" si="54">G68-G69</f>
        <v>-58.028000000000006</v>
      </c>
      <c r="H70" s="29">
        <f t="shared" ref="H70" si="55">H68-H69</f>
        <v>-71.349000000000004</v>
      </c>
      <c r="I70" s="29">
        <f t="shared" ref="I70" si="56">I68-I69</f>
        <v>-75.525999999999996</v>
      </c>
      <c r="J70" s="29">
        <f>J68-J69</f>
        <v>-86.956999999999994</v>
      </c>
      <c r="Q70" s="29">
        <f>Q68-Q69</f>
        <v>-58.028000000000006</v>
      </c>
    </row>
    <row r="72" spans="1:17">
      <c r="B72" s="3" t="s">
        <v>116</v>
      </c>
      <c r="G72" s="3">
        <v>6.75</v>
      </c>
      <c r="H72" s="3">
        <v>8.48</v>
      </c>
      <c r="I72" s="3">
        <v>3.04</v>
      </c>
      <c r="J72" s="3">
        <v>2.38</v>
      </c>
      <c r="Q72" s="3">
        <f>G72</f>
        <v>6.75</v>
      </c>
    </row>
    <row r="73" spans="1:17">
      <c r="B73" s="3" t="s">
        <v>5</v>
      </c>
      <c r="G73" s="29">
        <f t="shared" ref="G73" si="57">G72*G19</f>
        <v>304.30717199999998</v>
      </c>
      <c r="H73" s="29">
        <f t="shared" ref="H73" si="58">H72*H19</f>
        <v>531.61856912000007</v>
      </c>
      <c r="I73" s="29">
        <f t="shared" ref="I73" si="59">I72*I19</f>
        <v>191.49706016000002</v>
      </c>
      <c r="J73" s="29">
        <f>J72*J19</f>
        <v>151.03605425999999</v>
      </c>
      <c r="Q73" s="29">
        <f t="shared" ref="Q73" si="60">Q72*Q19</f>
        <v>304.30717199999998</v>
      </c>
    </row>
    <row r="74" spans="1:17">
      <c r="B74" s="3" t="s">
        <v>9</v>
      </c>
      <c r="G74" s="29">
        <f t="shared" ref="G74" si="61">G73-G70</f>
        <v>362.335172</v>
      </c>
      <c r="H74" s="29">
        <f t="shared" ref="H74" si="62">H73-H70</f>
        <v>602.96756912000012</v>
      </c>
      <c r="I74" s="29">
        <f t="shared" ref="I74" si="63">I73-I70</f>
        <v>267.02306016</v>
      </c>
      <c r="J74" s="29">
        <f>J73-J70</f>
        <v>237.99305425999998</v>
      </c>
      <c r="Q74" s="29">
        <f t="shared" ref="Q74" si="64">Q73-Q70</f>
        <v>362.335172</v>
      </c>
    </row>
    <row r="76" spans="1:17">
      <c r="A76" s="52">
        <f>AVERAGE(G76:J76)</f>
        <v>6.942206474650285</v>
      </c>
      <c r="B76" s="3" t="s">
        <v>22</v>
      </c>
      <c r="G76" s="36">
        <f t="shared" ref="G76:H76" si="65">G72/G66</f>
        <v>2.8381038592826089</v>
      </c>
      <c r="H76" s="36">
        <f>H72/H66</f>
        <v>5.6427903995244764</v>
      </c>
      <c r="I76" s="36">
        <f>I72/I66</f>
        <v>9.0848610284315328</v>
      </c>
      <c r="J76" s="36">
        <f>J72/J66</f>
        <v>10.203070611362524</v>
      </c>
      <c r="Q76" s="36">
        <f>Q72/Q66</f>
        <v>2.8381038592826089</v>
      </c>
    </row>
    <row r="77" spans="1:17">
      <c r="A77" s="52">
        <f>AVERAGE(G77:J77)</f>
        <v>1.9917300271432343</v>
      </c>
      <c r="B77" s="3" t="s">
        <v>23</v>
      </c>
      <c r="G77" s="36">
        <f t="shared" ref="G77:J77" si="66">G73/SUM($G$4:$J$4)</f>
        <v>2.057255470899614</v>
      </c>
      <c r="H77" s="36">
        <f t="shared" si="66"/>
        <v>3.5939843368329973</v>
      </c>
      <c r="I77" s="36">
        <f t="shared" si="66"/>
        <v>1.2946075903704057</v>
      </c>
      <c r="J77" s="36">
        <f>J73/SUM($G$4:$J$4)</f>
        <v>1.0210727104699193</v>
      </c>
      <c r="Q77" s="36">
        <f>Q73/Q4</f>
        <v>2.2115186081496501</v>
      </c>
    </row>
    <row r="78" spans="1:17">
      <c r="A78" s="52">
        <f>AVERAGE(G78:J78)</f>
        <v>2.4850067529188276</v>
      </c>
      <c r="B78" s="3" t="s">
        <v>24</v>
      </c>
      <c r="G78" s="36">
        <f t="shared" ref="G78:J78" si="67">G74/SUM($G$4:$J$4)</f>
        <v>2.4495512544027478</v>
      </c>
      <c r="H78" s="36">
        <f t="shared" si="67"/>
        <v>4.076336164522476</v>
      </c>
      <c r="I78" s="36">
        <f t="shared" si="67"/>
        <v>1.8051978458480658</v>
      </c>
      <c r="J78" s="36">
        <f>J74/SUM($G$4:$J$4)</f>
        <v>1.6089417469020209</v>
      </c>
      <c r="Q78" s="36">
        <f>Q74/Q4</f>
        <v>2.6332306596609039</v>
      </c>
    </row>
    <row r="79" spans="1:17">
      <c r="A79" s="52">
        <f>AVERAGE(G79:J79)</f>
        <v>-3.1196506895580813</v>
      </c>
      <c r="B79" s="3" t="s">
        <v>25</v>
      </c>
      <c r="G79" s="36">
        <f t="shared" ref="G79:I79" si="68">G72/SUM(D18:G18)</f>
        <v>-4.5345346676411911</v>
      </c>
      <c r="H79" s="36">
        <f t="shared" si="68"/>
        <v>-5.442416520441185</v>
      </c>
      <c r="I79" s="36">
        <f t="shared" si="68"/>
        <v>-1.2916941654103256</v>
      </c>
      <c r="J79" s="36">
        <f>J72/SUM(G18:J18)</f>
        <v>-1.2099574047396249</v>
      </c>
      <c r="Q79" s="36">
        <f>Q72/Q18</f>
        <v>-4.9451089913385431</v>
      </c>
    </row>
    <row r="80" spans="1:17">
      <c r="A80" s="52">
        <f>AVERAGE(G80:J80)</f>
        <v>-4.5974257728689416</v>
      </c>
      <c r="B80" s="3" t="s">
        <v>26</v>
      </c>
      <c r="G80" s="36">
        <f t="shared" ref="G80:I80" si="69">G74/SUM(D17:G17)</f>
        <v>-5.8880863870516915</v>
      </c>
      <c r="H80" s="36">
        <f t="shared" si="69"/>
        <v>-8.4738823025465191</v>
      </c>
      <c r="I80" s="36">
        <f t="shared" si="69"/>
        <v>-2.0185742700120195</v>
      </c>
      <c r="J80" s="36">
        <f>J74/SUM(G17:J17)</f>
        <v>-2.0091601318655337</v>
      </c>
      <c r="Q80" s="36">
        <f>Q74/Q17</f>
        <v>-5.8880863870516915</v>
      </c>
    </row>
    <row r="84" spans="2:18">
      <c r="B84" s="35" t="s">
        <v>117</v>
      </c>
    </row>
    <row r="86" spans="2:18">
      <c r="B86" s="3" t="s">
        <v>118</v>
      </c>
      <c r="D86" s="3">
        <v>-7.6740000000000004</v>
      </c>
      <c r="H86" s="29">
        <v>-11.446</v>
      </c>
      <c r="I86" s="29">
        <f>-15.584-(H86)</f>
        <v>-4.1379999999999999</v>
      </c>
      <c r="J86" s="29">
        <f>-26.829-(SUM(H86:I86))</f>
        <v>-11.245000000000001</v>
      </c>
    </row>
    <row r="87" spans="2:18">
      <c r="H87" s="29"/>
    </row>
    <row r="88" spans="2:18">
      <c r="B88" s="3" t="s">
        <v>119</v>
      </c>
      <c r="H88" s="29">
        <v>0</v>
      </c>
      <c r="I88" s="29">
        <v>0</v>
      </c>
      <c r="J88" s="29">
        <v>0</v>
      </c>
    </row>
    <row r="89" spans="2:18">
      <c r="B89" s="3" t="s">
        <v>120</v>
      </c>
      <c r="H89" s="29">
        <v>-0.89200000000000002</v>
      </c>
      <c r="I89" s="29">
        <f>-1.898-(H89)</f>
        <v>-1.0059999999999998</v>
      </c>
      <c r="J89" s="29">
        <f>-2.793-(SUM(H89:I89))</f>
        <v>-0.89500000000000046</v>
      </c>
    </row>
    <row r="90" spans="2:18">
      <c r="B90" s="3" t="s">
        <v>121</v>
      </c>
      <c r="H90" s="29">
        <v>-0.122</v>
      </c>
      <c r="I90" s="29">
        <f>-0.175-(H90)</f>
        <v>-5.2999999999999992E-2</v>
      </c>
      <c r="J90" s="29">
        <f>-0.639-(SUM(H90:I90))</f>
        <v>-0.46400000000000002</v>
      </c>
    </row>
    <row r="91" spans="2:18">
      <c r="B91" s="3" t="s">
        <v>122</v>
      </c>
      <c r="H91" s="29">
        <v>0</v>
      </c>
      <c r="I91" s="29">
        <v>0</v>
      </c>
      <c r="J91" s="29">
        <v>0</v>
      </c>
    </row>
    <row r="92" spans="2:18" s="28" customFormat="1">
      <c r="B92" s="28" t="s">
        <v>123</v>
      </c>
      <c r="H92" s="33">
        <f>SUM(H88:H91)</f>
        <v>-1.014</v>
      </c>
      <c r="I92" s="33">
        <f>SUM(I88:I91)</f>
        <v>-1.0589999999999997</v>
      </c>
      <c r="J92" s="33">
        <f>SUM(J88:J91)</f>
        <v>-1.3590000000000004</v>
      </c>
      <c r="K92" s="70"/>
      <c r="R92" s="61"/>
    </row>
    <row r="93" spans="2:18">
      <c r="H93" s="29"/>
    </row>
    <row r="94" spans="2:18">
      <c r="B94" s="3" t="s">
        <v>124</v>
      </c>
      <c r="H94" s="29">
        <f>-H88+H89+H90</f>
        <v>-1.014</v>
      </c>
      <c r="I94" s="29">
        <f t="shared" ref="I94:J94" si="70">-I88+I89+I90</f>
        <v>-1.0589999999999997</v>
      </c>
      <c r="J94" s="29">
        <f t="shared" si="70"/>
        <v>-1.3590000000000004</v>
      </c>
    </row>
    <row r="95" spans="2:18" s="28" customFormat="1">
      <c r="B95" s="28" t="s">
        <v>125</v>
      </c>
      <c r="H95" s="33">
        <f>H86+H94</f>
        <v>-12.459999999999999</v>
      </c>
      <c r="I95" s="33">
        <f t="shared" ref="I95" si="71">I86+I94</f>
        <v>-5.1969999999999992</v>
      </c>
      <c r="J95" s="33">
        <f t="shared" ref="J95" si="72">J86+J94</f>
        <v>-12.604000000000001</v>
      </c>
      <c r="K95" s="70"/>
      <c r="R95" s="61"/>
    </row>
  </sheetData>
  <hyperlinks>
    <hyperlink ref="J1" r:id="rId1" location="ieb75bb50d25b43988f02e27af34ce5ea_19" xr:uid="{F3BAE21F-8075-4AD3-AE46-BE3F41688B15}"/>
    <hyperlink ref="I1" r:id="rId2" xr:uid="{F513A548-D519-49B7-AE7F-0E259055CDF8}"/>
    <hyperlink ref="H1" r:id="rId3" xr:uid="{36B2AE0E-4BDC-4E69-B27A-97F8E2FAB951}"/>
  </hyperlinks>
  <pageMargins left="0.7" right="0.7" top="0.75" bottom="0.75" header="0.3" footer="0.3"/>
  <pageSetup paperSize="256" orientation="portrait" horizontalDpi="203" verticalDpi="203" r:id="rId4"/>
  <ignoredErrors>
    <ignoredError sqref="G6:G19 Q40:Q58 R6 R12:R18" formula="1"/>
  </ignoredError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2023-02-18T22:23:29Z</dcterms:created>
  <dcterms:modified xsi:type="dcterms:W3CDTF">2023-02-19T15:09:04Z</dcterms:modified>
</cp:coreProperties>
</file>