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1B953064-9D5F-4F64-B404-0997F8150DD8}" xr6:coauthVersionLast="36" xr6:coauthVersionMax="36" xr10:uidLastSave="{00000000-0000-0000-0000-000000000000}"/>
  <bookViews>
    <workbookView xWindow="0" yWindow="0" windowWidth="28470" windowHeight="11790" activeTab="1" xr2:uid="{1821E3F4-C005-474E-95BC-C5AE66A060FF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2" i="2" l="1"/>
  <c r="C72" i="2"/>
  <c r="E72" i="2"/>
  <c r="C65" i="2"/>
  <c r="C64" i="2"/>
  <c r="C66" i="2" s="1"/>
  <c r="C61" i="2"/>
  <c r="C62" i="2" s="1"/>
  <c r="E66" i="2"/>
  <c r="E65" i="2"/>
  <c r="E64" i="2"/>
  <c r="E61" i="2"/>
  <c r="E62" i="2" s="1"/>
  <c r="C59" i="2"/>
  <c r="E59" i="2"/>
  <c r="C56" i="2"/>
  <c r="E56" i="2"/>
  <c r="C49" i="2"/>
  <c r="E49" i="2"/>
  <c r="C28" i="2"/>
  <c r="C34" i="2"/>
  <c r="C40" i="2" s="1"/>
  <c r="E28" i="2"/>
  <c r="E34" i="2" s="1"/>
  <c r="E40" i="2" s="1"/>
  <c r="E18" i="2"/>
  <c r="G18" i="2"/>
  <c r="C23" i="2"/>
  <c r="C21" i="2"/>
  <c r="E23" i="2"/>
  <c r="E21" i="2"/>
  <c r="C10" i="2"/>
  <c r="C12" i="2" s="1"/>
  <c r="E10" i="2"/>
  <c r="E12" i="2" s="1"/>
  <c r="C69" i="2"/>
  <c r="E69" i="2"/>
  <c r="G69" i="2"/>
  <c r="I69" i="2"/>
  <c r="G65" i="2"/>
  <c r="G64" i="2"/>
  <c r="G66" i="2" s="1"/>
  <c r="I65" i="2"/>
  <c r="I64" i="2"/>
  <c r="I66" i="2" s="1"/>
  <c r="K65" i="2"/>
  <c r="M65" i="2"/>
  <c r="G49" i="2"/>
  <c r="G56" i="2" s="1"/>
  <c r="G59" i="2" s="1"/>
  <c r="I49" i="2"/>
  <c r="I56" i="2" s="1"/>
  <c r="I59" i="2" s="1"/>
  <c r="M49" i="2"/>
  <c r="M56" i="2" s="1"/>
  <c r="M59" i="2" s="1"/>
  <c r="K49" i="2"/>
  <c r="K56" i="2" s="1"/>
  <c r="K59" i="2" s="1"/>
  <c r="G40" i="2"/>
  <c r="G34" i="2"/>
  <c r="G28" i="2"/>
  <c r="I34" i="2"/>
  <c r="I40" i="2" s="1"/>
  <c r="I28" i="2"/>
  <c r="I18" i="2"/>
  <c r="G21" i="2"/>
  <c r="I21" i="2"/>
  <c r="K18" i="2"/>
  <c r="G10" i="2"/>
  <c r="G23" i="2" s="1"/>
  <c r="I10" i="2"/>
  <c r="I12" i="2" s="1"/>
  <c r="K69" i="2"/>
  <c r="K64" i="2"/>
  <c r="K28" i="2"/>
  <c r="K34" i="2" s="1"/>
  <c r="K40" i="2" s="1"/>
  <c r="D11" i="1"/>
  <c r="D10" i="1"/>
  <c r="D9" i="1"/>
  <c r="D7" i="1"/>
  <c r="C7" i="1"/>
  <c r="C8" i="1" s="1"/>
  <c r="M69" i="2"/>
  <c r="C10" i="1"/>
  <c r="M64" i="2"/>
  <c r="C9" i="1" s="1"/>
  <c r="M28" i="2"/>
  <c r="M34" i="2" s="1"/>
  <c r="M40" i="2" s="1"/>
  <c r="K21" i="2"/>
  <c r="M21" i="2"/>
  <c r="M18" i="2"/>
  <c r="K10" i="2"/>
  <c r="K12" i="2" s="1"/>
  <c r="K15" i="2" s="1"/>
  <c r="M10" i="2"/>
  <c r="M12" i="2" s="1"/>
  <c r="C70" i="2" l="1"/>
  <c r="E70" i="2"/>
  <c r="C15" i="2"/>
  <c r="C13" i="2"/>
  <c r="C22" i="2"/>
  <c r="G61" i="2"/>
  <c r="G62" i="2" s="1"/>
  <c r="G72" i="2" s="1"/>
  <c r="E22" i="2"/>
  <c r="E13" i="2"/>
  <c r="E15" i="2"/>
  <c r="I61" i="2"/>
  <c r="I62" i="2" s="1"/>
  <c r="I72" i="2" s="1"/>
  <c r="M23" i="2"/>
  <c r="I70" i="2"/>
  <c r="G70" i="2"/>
  <c r="K66" i="2"/>
  <c r="K70" i="2" s="1"/>
  <c r="G12" i="2"/>
  <c r="G22" i="2" s="1"/>
  <c r="K61" i="2"/>
  <c r="K62" i="2" s="1"/>
  <c r="K72" i="2" s="1"/>
  <c r="M61" i="2"/>
  <c r="M62" i="2" s="1"/>
  <c r="M72" i="2" s="1"/>
  <c r="I22" i="2"/>
  <c r="I13" i="2"/>
  <c r="I15" i="2"/>
  <c r="I23" i="2"/>
  <c r="M66" i="2"/>
  <c r="M70" i="2" s="1"/>
  <c r="C11" i="1"/>
  <c r="C12" i="1" s="1"/>
  <c r="M15" i="2"/>
  <c r="M13" i="2"/>
  <c r="M22" i="2"/>
  <c r="K22" i="2"/>
  <c r="K23" i="2"/>
  <c r="K13" i="2"/>
  <c r="G15" i="2" l="1"/>
  <c r="G13" i="2"/>
</calcChain>
</file>

<file path=xl/sharedStrings.xml><?xml version="1.0" encoding="utf-8"?>
<sst xmlns="http://schemas.openxmlformats.org/spreadsheetml/2006/main" count="514" uniqueCount="108">
  <si>
    <t>£HLMA</t>
  </si>
  <si>
    <t>Halma Plc</t>
  </si>
  <si>
    <t>Global group of safety equipment companies for hazard detection &amp; life protection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</si>
  <si>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</si>
  <si>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</si>
  <si>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</si>
  <si>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</si>
  <si>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</si>
  <si>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</si>
  <si>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</si>
  <si>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</si>
  <si>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</si>
  <si>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</si>
  <si>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</si>
  <si>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</si>
  <si>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Chair</t>
  </si>
  <si>
    <t>Profile</t>
  </si>
  <si>
    <t>HQ</t>
  </si>
  <si>
    <t>Founded</t>
  </si>
  <si>
    <t>Update</t>
  </si>
  <si>
    <t>IR</t>
  </si>
  <si>
    <t>Metrics &amp; Ratios</t>
  </si>
  <si>
    <t>P/B</t>
  </si>
  <si>
    <t>P/S</t>
  </si>
  <si>
    <t>EV/S</t>
  </si>
  <si>
    <t>P/E</t>
  </si>
  <si>
    <t>EV/E</t>
  </si>
  <si>
    <t>ROCE</t>
  </si>
  <si>
    <t>Key Events</t>
  </si>
  <si>
    <t>Revenue</t>
  </si>
  <si>
    <t>Link</t>
  </si>
  <si>
    <t>Amersham, UK</t>
  </si>
  <si>
    <t>Andrew Williams</t>
  </si>
  <si>
    <t>Marc Ronchetti</t>
  </si>
  <si>
    <t>H118</t>
  </si>
  <si>
    <t>H218</t>
  </si>
  <si>
    <t>H119</t>
  </si>
  <si>
    <t>H219</t>
  </si>
  <si>
    <t>H120</t>
  </si>
  <si>
    <t>H220</t>
  </si>
  <si>
    <t>H121</t>
  </si>
  <si>
    <t>H221</t>
  </si>
  <si>
    <t>H122</t>
  </si>
  <si>
    <t>H222</t>
  </si>
  <si>
    <t>H123</t>
  </si>
  <si>
    <t>H223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</si>
  <si>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</si>
  <si>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</si>
  <si>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</si>
  <si>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</si>
  <si>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</si>
  <si>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</si>
  <si>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</si>
  <si>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</si>
  <si>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</si>
  <si>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</si>
  <si>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</si>
  <si>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</si>
  <si>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</si>
  <si>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</si>
  <si>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</si>
  <si>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</si>
  <si>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</si>
  <si>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</si>
  <si>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Operating Profit</t>
  </si>
  <si>
    <t>Results of Associates</t>
  </si>
  <si>
    <t>Gain on Disposal of Operations</t>
  </si>
  <si>
    <t>Finance Income</t>
  </si>
  <si>
    <t>Finance Expenses</t>
  </si>
  <si>
    <t>Pretax Income</t>
  </si>
  <si>
    <t>Taxes</t>
  </si>
  <si>
    <t>Net Income</t>
  </si>
  <si>
    <t>Net Income (Non Controlling)</t>
  </si>
  <si>
    <t>EPS</t>
  </si>
  <si>
    <t>Net Income (Parent)</t>
  </si>
  <si>
    <t>Revenue Y/Y</t>
  </si>
  <si>
    <t>Revenue H/H</t>
  </si>
  <si>
    <t>Operating Margin</t>
  </si>
  <si>
    <t>Net Margin</t>
  </si>
  <si>
    <t>Taxes %</t>
  </si>
  <si>
    <t>Balance Sheet</t>
  </si>
  <si>
    <t>Goodwill+Intangibles</t>
  </si>
  <si>
    <t>PP&amp;E</t>
  </si>
  <si>
    <t>Investments in Associates &amp; Other</t>
  </si>
  <si>
    <t>Retirement Benefit</t>
  </si>
  <si>
    <t>Tax Receivables</t>
  </si>
  <si>
    <t>Deferred Taxes</t>
  </si>
  <si>
    <t>Total NCA</t>
  </si>
  <si>
    <t>Inventories</t>
  </si>
  <si>
    <t>Trade &amp; A/R</t>
  </si>
  <si>
    <t>Cash &amp; Bank Balances</t>
  </si>
  <si>
    <t>Assets</t>
  </si>
  <si>
    <t>Borrowings</t>
  </si>
  <si>
    <t>Lease Liabilities</t>
  </si>
  <si>
    <t>Retirement Benefit Obligations</t>
  </si>
  <si>
    <t>Trade &amp; A/P</t>
  </si>
  <si>
    <t>Provisions</t>
  </si>
  <si>
    <t>Liabilities</t>
  </si>
  <si>
    <t>Derivative Financial Instruments</t>
  </si>
  <si>
    <t>S/E</t>
  </si>
  <si>
    <t>S/E+L</t>
  </si>
  <si>
    <t>Book Value</t>
  </si>
  <si>
    <t>Book Value per Share</t>
  </si>
  <si>
    <t>Share Price</t>
  </si>
  <si>
    <t>TCL</t>
  </si>
  <si>
    <t>H217</t>
  </si>
  <si>
    <t>H117</t>
  </si>
  <si>
    <t>FY17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</si>
</sst>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75" formatCode="0.0\x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1" fillId="3" borderId="0" xfId="0" applyFont="1" applyFill="1"/>
    <xf numFmtId="0" fontId="1" fillId="0" borderId="0" xfId="0" applyFont="1" applyBorder="1"/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4" xfId="0" applyFont="1" applyFill="1" applyBorder="1"/>
    <xf numFmtId="0" fontId="2" fillId="5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2" fillId="2" borderId="4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5" xfId="0" applyFont="1" applyFill="1" applyBorder="1"/>
    <xf numFmtId="0" fontId="2" fillId="2" borderId="6" xfId="0" applyFont="1" applyFill="1" applyBorder="1" applyAlignment="1">
      <alignment horizontal="center"/>
    </xf>
    <xf numFmtId="0" fontId="1" fillId="2" borderId="7" xfId="0" applyFont="1" applyFill="1" applyBorder="1"/>
    <xf numFmtId="0" fontId="1" fillId="2" borderId="8" xfId="0" applyFont="1" applyFill="1" applyBorder="1"/>
    <xf numFmtId="0" fontId="2" fillId="5" borderId="4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5" borderId="4" xfId="0" applyFont="1" applyFill="1" applyBorder="1"/>
    <xf numFmtId="0" fontId="0" fillId="5" borderId="4" xfId="0" applyFill="1" applyBorder="1"/>
    <xf numFmtId="0" fontId="1" fillId="5" borderId="6" xfId="0" applyFont="1" applyFill="1" applyBorder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2" borderId="0" xfId="0" applyFont="1" applyFill="1" applyBorder="1" applyAlignment="1">
      <alignment horizontal="center"/>
    </xf>
    <xf numFmtId="0" fontId="2" fillId="6" borderId="0" xfId="0" applyFont="1" applyFill="1" applyAlignment="1">
      <alignment horizontal="right"/>
    </xf>
    <xf numFmtId="0" fontId="4" fillId="6" borderId="0" xfId="0" applyFont="1" applyFill="1" applyAlignment="1">
      <alignment horizontal="right"/>
    </xf>
    <xf numFmtId="0" fontId="2" fillId="6" borderId="0" xfId="0" applyFont="1" applyFill="1"/>
    <xf numFmtId="0" fontId="1" fillId="6" borderId="0" xfId="0" applyFont="1" applyFill="1"/>
    <xf numFmtId="0" fontId="6" fillId="2" borderId="7" xfId="1" applyFont="1" applyFill="1" applyBorder="1" applyAlignment="1">
      <alignment horizontal="center"/>
    </xf>
    <xf numFmtId="0" fontId="6" fillId="2" borderId="8" xfId="1" applyFont="1" applyFill="1" applyBorder="1" applyAlignment="1">
      <alignment horizontal="center"/>
    </xf>
    <xf numFmtId="0" fontId="6" fillId="0" borderId="0" xfId="1" applyFont="1" applyAlignment="1">
      <alignment horizontal="right"/>
    </xf>
    <xf numFmtId="16" fontId="4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right"/>
    </xf>
    <xf numFmtId="164" fontId="2" fillId="0" borderId="0" xfId="0" applyNumberFormat="1" applyFont="1"/>
    <xf numFmtId="164" fontId="2" fillId="6" borderId="0" xfId="0" applyNumberFormat="1" applyFont="1" applyFill="1"/>
    <xf numFmtId="164" fontId="1" fillId="0" borderId="0" xfId="0" applyNumberFormat="1" applyFont="1"/>
    <xf numFmtId="164" fontId="1" fillId="6" borderId="0" xfId="0" applyNumberFormat="1" applyFont="1" applyFill="1"/>
    <xf numFmtId="4" fontId="1" fillId="0" borderId="0" xfId="0" applyNumberFormat="1" applyFont="1"/>
    <xf numFmtId="4" fontId="1" fillId="6" borderId="0" xfId="0" applyNumberFormat="1" applyFont="1" applyFill="1"/>
    <xf numFmtId="9" fontId="1" fillId="0" borderId="0" xfId="0" applyNumberFormat="1" applyFont="1"/>
    <xf numFmtId="9" fontId="1" fillId="6" borderId="0" xfId="0" applyNumberFormat="1" applyFont="1" applyFill="1"/>
    <xf numFmtId="9" fontId="2" fillId="0" borderId="0" xfId="0" applyNumberFormat="1" applyFont="1"/>
    <xf numFmtId="9" fontId="2" fillId="6" borderId="0" xfId="0" applyNumberFormat="1" applyFont="1" applyFill="1"/>
    <xf numFmtId="0" fontId="7" fillId="0" borderId="0" xfId="0" applyFont="1"/>
    <xf numFmtId="175" fontId="1" fillId="0" borderId="0" xfId="0" applyNumberFormat="1" applyFont="1"/>
    <xf numFmtId="16" fontId="1" fillId="2" borderId="5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75" fontId="8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161926</xdr:colOff>
      <xdr:row>0</xdr:row>
      <xdr:rowOff>123412</xdr:rowOff>
    </xdr:from>
    <xdr:to>
      <xdr:col>4</xdr:col>
      <xdr:colOff>510009</xdr:colOff>
      <xdr:row>3</xdr:row>
      <xdr:rowOff>19050</xdr:rowOff>
    </xdr:to>
    <xdr:pic>
      <xdr:nvPicPr>
        <xdr:cNvPr id="2" name="Picture 1" descr="Castell Safety Halma named Britain's Most Admired Company 2020 - News &amp;  Insights">
          <a:extLst>
            <a:ext uri="{FF2B5EF4-FFF2-40B4-BE49-F238E27FC236}">
              <a16:creationId xmlns:a16="http://schemas.microsoft.com/office/drawing/2014/main" id="{6ADC4337-D34B-4588-8040-F015D4DC2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6" y="123412"/>
          <a:ext cx="1567283" cy="3814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0</xdr:row>
      <xdr:rowOff>19050</xdr:rowOff>
    </xdr:from>
    <xdr:to>
      <xdr:col>13</xdr:col>
      <xdr:colOff>9525</xdr:colOff>
      <xdr:row>80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2B430B1-32D9-44F7-8439-063FC07A4108}"/>
            </a:ext>
          </a:extLst>
        </xdr:cNvPr>
        <xdr:cNvCxnSpPr/>
      </xdr:nvCxnSpPr>
      <xdr:spPr>
        <a:xfrm>
          <a:off x="7639050" y="19050"/>
          <a:ext cx="0" cy="115443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0</xdr:row>
      <xdr:rowOff>0</xdr:rowOff>
    </xdr:from>
    <xdr:to>
      <xdr:col>22</xdr:col>
      <xdr:colOff>0</xdr:colOff>
      <xdr:row>80</xdr:row>
      <xdr:rowOff>47625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C9F1C8F-33DD-4E76-AD6B-3E4529529C08}"/>
            </a:ext>
          </a:extLst>
        </xdr:cNvPr>
        <xdr:cNvCxnSpPr/>
      </xdr:nvCxnSpPr>
      <xdr:spPr>
        <a:xfrm>
          <a:off x="13115925" y="0"/>
          <a:ext cx="0" cy="115443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alma.com/investor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alma.com/~/media/Files/H/Halma/Corp-V2/reports-and-presentations/reports/2018/Halma-Half-Year-2018-2019-report.pdf" TargetMode="External"/><Relationship Id="rId2" Type="http://schemas.openxmlformats.org/officeDocument/2006/relationships/hyperlink" Target="https://www.halma.com/~/media/Files/H/Halma/Corp-V2/reports-and-presentations/reports/2020/hy20-21/half-year-report-2020-21.pdf" TargetMode="External"/><Relationship Id="rId1" Type="http://schemas.openxmlformats.org/officeDocument/2006/relationships/hyperlink" Target="https://www.halma.com/~/media/Files/H/Halma/Corp-V2/reports-and-presentations/reports/2023/Halma_HY2223_Report.pdf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7DFEF-2721-42A7-BBC6-F0639EC003A0}">
  <dimension ref="B2:S38"/>
  <sheetViews>
    <sheetView zoomScaleNormal="100" workbookViewId="0">
      <selection activeCell="K22" sqref="K22"/>
    </sheetView>
  </sheetViews>
  <sheetFormatPr defaultRowHeight="12.75" x14ac:dyDescent="0.2"/>
  <cols>
    <col min="1" max="16384" width="9.140625" style="1"/>
  </cols>
  <sheetData>
    <row r="2" spans="2:19" x14ac:dyDescent="0.2">
      <c r="B2" s="2" t="s">
        <v>0</v>
      </c>
      <c r="G2" s="3" t="s">
        <v>2</v>
      </c>
      <c r="H2" s="3"/>
      <c r="I2" s="3"/>
      <c r="J2" s="3"/>
      <c r="K2" s="3"/>
      <c r="L2" s="3"/>
      <c r="M2" s="3"/>
      <c r="N2" s="3"/>
    </row>
    <row r="3" spans="2:19" x14ac:dyDescent="0.2">
      <c r="B3" s="2" t="s">
        <v>1</v>
      </c>
    </row>
    <row r="5" spans="2:19" x14ac:dyDescent="0.2">
      <c r="B5" s="5" t="s">
        <v>3</v>
      </c>
      <c r="C5" s="6"/>
      <c r="D5" s="7"/>
      <c r="G5" s="5" t="s">
        <v>28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7"/>
    </row>
    <row r="6" spans="2:19" x14ac:dyDescent="0.2">
      <c r="B6" s="8" t="s">
        <v>4</v>
      </c>
      <c r="C6" s="4">
        <v>22.55</v>
      </c>
      <c r="D6" s="10"/>
      <c r="G6" s="26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6"/>
    </row>
    <row r="7" spans="2:19" x14ac:dyDescent="0.2">
      <c r="B7" s="8" t="s">
        <v>5</v>
      </c>
      <c r="C7" s="12">
        <f>'Financial Model'!M16</f>
        <v>378.2</v>
      </c>
      <c r="D7" s="10" t="str">
        <f>$C$28</f>
        <v>H122</v>
      </c>
      <c r="G7" s="26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6"/>
    </row>
    <row r="8" spans="2:19" x14ac:dyDescent="0.2">
      <c r="B8" s="8" t="s">
        <v>6</v>
      </c>
      <c r="C8" s="12">
        <f>C6*C7</f>
        <v>8528.41</v>
      </c>
      <c r="D8" s="10"/>
      <c r="G8" s="26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6"/>
    </row>
    <row r="9" spans="2:19" x14ac:dyDescent="0.2">
      <c r="B9" s="8" t="s">
        <v>7</v>
      </c>
      <c r="C9" s="12">
        <f>'Financial Model'!M64</f>
        <v>234.4</v>
      </c>
      <c r="D9" s="10" t="str">
        <f t="shared" ref="D9:D11" si="0">$C$28</f>
        <v>H122</v>
      </c>
      <c r="G9" s="26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6"/>
    </row>
    <row r="10" spans="2:19" ht="15" x14ac:dyDescent="0.25">
      <c r="B10" s="8" t="s">
        <v>8</v>
      </c>
      <c r="C10" s="12">
        <f>'Financial Model'!M65</f>
        <v>802</v>
      </c>
      <c r="D10" s="10" t="str">
        <f t="shared" si="0"/>
        <v>H122</v>
      </c>
      <c r="G10" s="27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6"/>
    </row>
    <row r="11" spans="2:19" x14ac:dyDescent="0.2">
      <c r="B11" s="8" t="s">
        <v>9</v>
      </c>
      <c r="C11" s="12">
        <f>C9-C10</f>
        <v>-567.6</v>
      </c>
      <c r="D11" s="10" t="str">
        <f t="shared" si="0"/>
        <v>H122</v>
      </c>
      <c r="G11" s="26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6"/>
    </row>
    <row r="12" spans="2:19" x14ac:dyDescent="0.2">
      <c r="B12" s="9" t="s">
        <v>10</v>
      </c>
      <c r="C12" s="13">
        <f>C8-C11</f>
        <v>9096.01</v>
      </c>
      <c r="D12" s="11"/>
      <c r="G12" s="26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6"/>
    </row>
    <row r="13" spans="2:19" x14ac:dyDescent="0.2">
      <c r="G13" s="26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6"/>
    </row>
    <row r="14" spans="2:19" x14ac:dyDescent="0.2">
      <c r="G14" s="26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6"/>
    </row>
    <row r="15" spans="2:19" x14ac:dyDescent="0.2">
      <c r="B15" s="5" t="s">
        <v>11</v>
      </c>
      <c r="C15" s="6"/>
      <c r="D15" s="7"/>
      <c r="G15" s="26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6"/>
    </row>
    <row r="16" spans="2:19" x14ac:dyDescent="0.2">
      <c r="B16" s="14" t="s">
        <v>12</v>
      </c>
      <c r="C16" s="22" t="s">
        <v>32</v>
      </c>
      <c r="D16" s="23"/>
      <c r="G16" s="26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6"/>
    </row>
    <row r="17" spans="2:19" x14ac:dyDescent="0.2">
      <c r="B17" s="14" t="s">
        <v>13</v>
      </c>
      <c r="C17" s="22" t="s">
        <v>33</v>
      </c>
      <c r="D17" s="23"/>
      <c r="G17" s="26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6"/>
    </row>
    <row r="18" spans="2:19" x14ac:dyDescent="0.2">
      <c r="B18" s="14" t="s">
        <v>14</v>
      </c>
      <c r="C18" s="22"/>
      <c r="D18" s="23"/>
      <c r="G18" s="26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6"/>
    </row>
    <row r="19" spans="2:19" x14ac:dyDescent="0.2">
      <c r="B19" s="17" t="s">
        <v>15</v>
      </c>
      <c r="C19" s="24"/>
      <c r="D19" s="25"/>
      <c r="G19" s="26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6"/>
    </row>
    <row r="20" spans="2:19" x14ac:dyDescent="0.2">
      <c r="G20" s="26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6"/>
    </row>
    <row r="21" spans="2:19" x14ac:dyDescent="0.2">
      <c r="G21" s="26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6"/>
    </row>
    <row r="22" spans="2:19" x14ac:dyDescent="0.2">
      <c r="B22" s="5" t="s">
        <v>16</v>
      </c>
      <c r="C22" s="6"/>
      <c r="D22" s="7"/>
      <c r="G22" s="26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6"/>
    </row>
    <row r="23" spans="2:19" x14ac:dyDescent="0.2">
      <c r="B23" s="20" t="s">
        <v>17</v>
      </c>
      <c r="C23" s="22" t="s">
        <v>31</v>
      </c>
      <c r="D23" s="23"/>
      <c r="G23" s="26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6"/>
    </row>
    <row r="24" spans="2:19" x14ac:dyDescent="0.2">
      <c r="B24" s="20" t="s">
        <v>18</v>
      </c>
      <c r="C24" s="22">
        <v>1894</v>
      </c>
      <c r="D24" s="23"/>
      <c r="G24" s="26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6"/>
    </row>
    <row r="25" spans="2:19" x14ac:dyDescent="0.2">
      <c r="B25" s="20"/>
      <c r="C25" s="22"/>
      <c r="D25" s="23"/>
      <c r="G25" s="26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6"/>
    </row>
    <row r="26" spans="2:19" x14ac:dyDescent="0.2">
      <c r="B26" s="20"/>
      <c r="C26" s="22"/>
      <c r="D26" s="23"/>
      <c r="G26" s="26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6"/>
    </row>
    <row r="27" spans="2:19" x14ac:dyDescent="0.2">
      <c r="B27" s="20"/>
      <c r="C27" s="22"/>
      <c r="D27" s="23"/>
      <c r="G27" s="26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6"/>
    </row>
    <row r="28" spans="2:19" x14ac:dyDescent="0.2">
      <c r="B28" s="20" t="s">
        <v>19</v>
      </c>
      <c r="C28" s="32" t="s">
        <v>42</v>
      </c>
      <c r="D28" s="54">
        <v>44882</v>
      </c>
      <c r="G28" s="26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6"/>
    </row>
    <row r="29" spans="2:19" x14ac:dyDescent="0.2">
      <c r="B29" s="21" t="s">
        <v>20</v>
      </c>
      <c r="C29" s="37" t="s">
        <v>30</v>
      </c>
      <c r="D29" s="38"/>
      <c r="G29" s="26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6"/>
    </row>
    <row r="30" spans="2:19" x14ac:dyDescent="0.2">
      <c r="G30" s="26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6"/>
    </row>
    <row r="31" spans="2:19" x14ac:dyDescent="0.2">
      <c r="G31" s="26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6"/>
    </row>
    <row r="32" spans="2:19" x14ac:dyDescent="0.2">
      <c r="B32" s="5" t="s">
        <v>21</v>
      </c>
      <c r="C32" s="6"/>
      <c r="D32" s="7"/>
      <c r="G32" s="26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6"/>
    </row>
    <row r="33" spans="2:19" x14ac:dyDescent="0.2">
      <c r="B33" s="20" t="s">
        <v>22</v>
      </c>
      <c r="C33" s="22"/>
      <c r="D33" s="23"/>
      <c r="G33" s="26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6"/>
    </row>
    <row r="34" spans="2:19" x14ac:dyDescent="0.2">
      <c r="B34" s="20" t="s">
        <v>23</v>
      </c>
      <c r="C34" s="22"/>
      <c r="D34" s="23"/>
      <c r="G34" s="26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6"/>
    </row>
    <row r="35" spans="2:19" x14ac:dyDescent="0.2">
      <c r="B35" s="20" t="s">
        <v>24</v>
      </c>
      <c r="C35" s="22"/>
      <c r="D35" s="23"/>
      <c r="G35" s="26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6"/>
    </row>
    <row r="36" spans="2:19" x14ac:dyDescent="0.2">
      <c r="B36" s="20" t="s">
        <v>25</v>
      </c>
      <c r="C36" s="22"/>
      <c r="D36" s="23"/>
      <c r="G36" s="26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6"/>
    </row>
    <row r="37" spans="2:19" x14ac:dyDescent="0.2">
      <c r="B37" s="20" t="s">
        <v>26</v>
      </c>
      <c r="C37" s="22"/>
      <c r="D37" s="23"/>
      <c r="G37" s="26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6"/>
    </row>
    <row r="38" spans="2:19" x14ac:dyDescent="0.2">
      <c r="B38" s="21" t="s">
        <v>27</v>
      </c>
      <c r="C38" s="24"/>
      <c r="D38" s="25"/>
      <c r="G38" s="2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9"/>
    </row>
  </sheetData>
  <mergeCells count="21">
    <mergeCell ref="C38:D38"/>
    <mergeCell ref="G5:S5"/>
    <mergeCell ref="C16:D16"/>
    <mergeCell ref="C17:D17"/>
    <mergeCell ref="C18:D18"/>
    <mergeCell ref="C19:D19"/>
    <mergeCell ref="C29:D29"/>
    <mergeCell ref="C33:D33"/>
    <mergeCell ref="C34:D34"/>
    <mergeCell ref="C35:D35"/>
    <mergeCell ref="C36:D36"/>
    <mergeCell ref="C37:D37"/>
    <mergeCell ref="B5:D5"/>
    <mergeCell ref="B15:D15"/>
    <mergeCell ref="B22:D22"/>
    <mergeCell ref="B32:D32"/>
    <mergeCell ref="C23:D23"/>
    <mergeCell ref="C24:D24"/>
    <mergeCell ref="C25:D25"/>
    <mergeCell ref="C26:D26"/>
    <mergeCell ref="C27:D27"/>
  </mergeCells>
  <hyperlinks>
    <hyperlink ref="C29:D29" r:id="rId1" display="Link" xr:uid="{14EC5317-C73B-4350-A09D-C7641F7FCA8D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5332D-7B2B-4D46-8BAA-4FBC91F2AA00}">
  <dimension ref="A1:AJ77"/>
  <sheetViews>
    <sheetView tabSelected="1" workbookViewId="0">
      <pane xSplit="2" ySplit="3" topLeftCell="AB36" activePane="bottomRight" state="frozen"/>
      <selection pane="topRight" activeCell="C1" sqref="C1"/>
      <selection pane="bottomLeft" activeCell="A4" sqref="A4"/>
      <selection pane="bottomRight" activeCell="A72" sqref="A72"/>
    </sheetView>
  </sheetViews>
  <sheetFormatPr defaultRowHeight="12.75" x14ac:dyDescent="0.2"/>
  <cols>
    <col min="1" max="1" width="4.85546875" style="1" customWidth="1"/>
    <col min="2" max="2" width="30.85546875" style="1" bestFit="1" customWidth="1"/>
    <col min="3" max="3" width="9.140625" style="1"/>
    <col min="4" max="4" width="9.140625" style="36"/>
    <col min="5" max="5" width="9.140625" style="1"/>
    <col min="6" max="6" width="9.140625" style="36"/>
    <col min="7" max="7" width="9.140625" style="1"/>
    <col min="8" max="8" width="9.140625" style="36"/>
    <col min="9" max="9" width="9.140625" style="1"/>
    <col min="10" max="10" width="9.140625" style="36"/>
    <col min="11" max="11" width="9.140625" style="1"/>
    <col min="12" max="12" width="9.140625" style="36"/>
    <col min="13" max="13" width="9.140625" style="1"/>
    <col min="14" max="14" width="9.140625" style="36"/>
    <col min="15" max="15" width="9.140625" style="1"/>
    <col min="16" max="16" width="9.140625" style="36"/>
    <col min="17" max="16384" width="9.140625" style="1"/>
  </cols>
  <sheetData>
    <row r="1" spans="2:36" s="29" customFormat="1" x14ac:dyDescent="0.2">
      <c r="C1" s="29" t="s">
        <v>106</v>
      </c>
      <c r="D1" s="33" t="s">
        <v>105</v>
      </c>
      <c r="E1" s="39" t="s">
        <v>34</v>
      </c>
      <c r="F1" s="33" t="s">
        <v>35</v>
      </c>
      <c r="G1" s="29" t="s">
        <v>36</v>
      </c>
      <c r="H1" s="33" t="s">
        <v>37</v>
      </c>
      <c r="I1" s="39" t="s">
        <v>38</v>
      </c>
      <c r="J1" s="33" t="s">
        <v>39</v>
      </c>
      <c r="K1" s="29" t="s">
        <v>40</v>
      </c>
      <c r="L1" s="33" t="s">
        <v>41</v>
      </c>
      <c r="M1" s="39" t="s">
        <v>42</v>
      </c>
      <c r="N1" s="33" t="s">
        <v>43</v>
      </c>
      <c r="O1" s="29" t="s">
        <v>44</v>
      </c>
      <c r="P1" s="33" t="s">
        <v>45</v>
      </c>
      <c r="R1" s="29" t="s">
        <v>107</v>
      </c>
      <c r="S1" s="29" t="s">
        <v>46</v>
      </c>
      <c r="T1" s="29" t="s">
        <v>47</v>
      </c>
      <c r="U1" s="29" t="s">
        <v>48</v>
      </c>
      <c r="V1" s="29" t="s">
        <v>49</v>
      </c>
      <c r="W1" s="29" t="s">
        <v>50</v>
      </c>
      <c r="X1" s="29" t="s">
        <v>51</v>
      </c>
      <c r="Y1" s="29" t="s">
        <v>52</v>
      </c>
      <c r="Z1" s="29" t="s">
        <v>53</v>
      </c>
      <c r="AA1" s="29" t="s">
        <v>54</v>
      </c>
      <c r="AB1" s="29" t="s">
        <v>55</v>
      </c>
      <c r="AC1" s="29" t="s">
        <v>56</v>
      </c>
      <c r="AD1" s="29" t="s">
        <v>57</v>
      </c>
      <c r="AE1" s="29" t="s">
        <v>58</v>
      </c>
      <c r="AF1" s="29" t="s">
        <v>59</v>
      </c>
      <c r="AG1" s="29" t="s">
        <v>60</v>
      </c>
      <c r="AH1" s="29" t="s">
        <v>61</v>
      </c>
      <c r="AI1" s="29" t="s">
        <v>62</v>
      </c>
      <c r="AJ1" s="29" t="s">
        <v>63</v>
      </c>
    </row>
    <row r="2" spans="2:36" s="31" customFormat="1" x14ac:dyDescent="0.2">
      <c r="B2" s="30"/>
      <c r="C2" s="41">
        <v>43008</v>
      </c>
      <c r="D2" s="34"/>
      <c r="E2" s="41">
        <v>43373</v>
      </c>
      <c r="F2" s="34"/>
      <c r="G2" s="41">
        <v>43738</v>
      </c>
      <c r="H2" s="34"/>
      <c r="I2" s="41">
        <v>44104</v>
      </c>
      <c r="J2" s="34"/>
      <c r="K2" s="41">
        <v>44469</v>
      </c>
      <c r="L2" s="34"/>
      <c r="M2" s="41">
        <v>44834</v>
      </c>
      <c r="N2" s="34"/>
      <c r="P2" s="34"/>
    </row>
    <row r="3" spans="2:36" s="31" customFormat="1" x14ac:dyDescent="0.2">
      <c r="B3" s="30"/>
      <c r="D3" s="34"/>
      <c r="E3" s="40">
        <v>44885</v>
      </c>
      <c r="F3" s="34"/>
      <c r="H3" s="34"/>
      <c r="I3" s="40">
        <v>44884</v>
      </c>
      <c r="J3" s="34"/>
      <c r="L3" s="34"/>
      <c r="M3" s="40">
        <v>44882</v>
      </c>
      <c r="N3" s="34"/>
      <c r="P3" s="34"/>
    </row>
    <row r="4" spans="2:36" s="42" customFormat="1" x14ac:dyDescent="0.2">
      <c r="B4" s="42" t="s">
        <v>29</v>
      </c>
      <c r="C4" s="42">
        <v>506.3</v>
      </c>
      <c r="D4" s="43"/>
      <c r="E4" s="42">
        <v>585.5</v>
      </c>
      <c r="F4" s="43"/>
      <c r="G4" s="42">
        <v>653.70000000000005</v>
      </c>
      <c r="H4" s="43"/>
      <c r="I4" s="42">
        <v>618.4</v>
      </c>
      <c r="J4" s="43"/>
      <c r="K4" s="42">
        <v>737.2</v>
      </c>
      <c r="L4" s="43"/>
      <c r="M4" s="42">
        <v>875.5</v>
      </c>
      <c r="N4" s="43"/>
      <c r="P4" s="43"/>
    </row>
    <row r="5" spans="2:36" s="42" customFormat="1" x14ac:dyDescent="0.2">
      <c r="B5" s="42" t="s">
        <v>64</v>
      </c>
      <c r="C5" s="42">
        <v>81.8</v>
      </c>
      <c r="D5" s="43"/>
      <c r="E5" s="42">
        <v>100.4</v>
      </c>
      <c r="F5" s="43"/>
      <c r="G5" s="42">
        <v>111.6</v>
      </c>
      <c r="H5" s="43"/>
      <c r="I5" s="42">
        <v>102.1</v>
      </c>
      <c r="J5" s="43"/>
      <c r="K5" s="42">
        <v>137.6</v>
      </c>
      <c r="L5" s="43"/>
      <c r="M5" s="42">
        <v>151.69999999999999</v>
      </c>
      <c r="N5" s="43"/>
      <c r="P5" s="43"/>
    </row>
    <row r="6" spans="2:36" s="44" customFormat="1" x14ac:dyDescent="0.2">
      <c r="B6" s="44" t="s">
        <v>65</v>
      </c>
      <c r="C6" s="44">
        <v>-0.1</v>
      </c>
      <c r="D6" s="45"/>
      <c r="E6" s="44">
        <v>-0.1</v>
      </c>
      <c r="F6" s="45"/>
      <c r="G6" s="44">
        <v>-0.1</v>
      </c>
      <c r="H6" s="45"/>
      <c r="I6" s="44">
        <v>0</v>
      </c>
      <c r="J6" s="45"/>
      <c r="K6" s="44">
        <v>-0.1</v>
      </c>
      <c r="L6" s="45"/>
      <c r="M6" s="44">
        <v>0</v>
      </c>
      <c r="N6" s="45"/>
      <c r="P6" s="45"/>
    </row>
    <row r="7" spans="2:36" s="44" customFormat="1" x14ac:dyDescent="0.2">
      <c r="B7" s="44" t="s">
        <v>66</v>
      </c>
      <c r="C7" s="44">
        <v>0</v>
      </c>
      <c r="D7" s="45"/>
      <c r="E7" s="44">
        <v>-0.9</v>
      </c>
      <c r="F7" s="45"/>
      <c r="G7" s="44">
        <v>0</v>
      </c>
      <c r="H7" s="45"/>
      <c r="I7" s="44">
        <v>0</v>
      </c>
      <c r="J7" s="45"/>
      <c r="K7" s="44">
        <v>34</v>
      </c>
      <c r="L7" s="45"/>
      <c r="M7" s="44">
        <v>0</v>
      </c>
      <c r="N7" s="45"/>
      <c r="P7" s="45"/>
    </row>
    <row r="8" spans="2:36" s="44" customFormat="1" x14ac:dyDescent="0.2">
      <c r="B8" s="44" t="s">
        <v>67</v>
      </c>
      <c r="C8" s="44">
        <v>0.1</v>
      </c>
      <c r="D8" s="45"/>
      <c r="E8" s="44">
        <v>0.1</v>
      </c>
      <c r="F8" s="45"/>
      <c r="G8" s="44">
        <v>0.4</v>
      </c>
      <c r="H8" s="45"/>
      <c r="I8" s="44">
        <v>1</v>
      </c>
      <c r="J8" s="45"/>
      <c r="K8" s="44">
        <v>0.6</v>
      </c>
      <c r="L8" s="45"/>
      <c r="M8" s="44">
        <v>0.8</v>
      </c>
      <c r="N8" s="45"/>
      <c r="P8" s="45"/>
    </row>
    <row r="9" spans="2:36" s="44" customFormat="1" x14ac:dyDescent="0.2">
      <c r="B9" s="44" t="s">
        <v>68</v>
      </c>
      <c r="C9" s="44">
        <v>5</v>
      </c>
      <c r="D9" s="45"/>
      <c r="E9" s="44">
        <v>5</v>
      </c>
      <c r="F9" s="45"/>
      <c r="G9" s="44">
        <v>6.1</v>
      </c>
      <c r="H9" s="45"/>
      <c r="I9" s="44">
        <v>6.8</v>
      </c>
      <c r="J9" s="45"/>
      <c r="K9" s="44">
        <v>4.5999999999999996</v>
      </c>
      <c r="L9" s="45"/>
      <c r="M9" s="44">
        <v>7</v>
      </c>
      <c r="N9" s="45"/>
      <c r="P9" s="45"/>
    </row>
    <row r="10" spans="2:36" s="44" customFormat="1" x14ac:dyDescent="0.2">
      <c r="B10" s="44" t="s">
        <v>69</v>
      </c>
      <c r="C10" s="44">
        <f>C5+C6+C7+C8-C9</f>
        <v>76.8</v>
      </c>
      <c r="D10" s="45"/>
      <c r="E10" s="44">
        <f>E5+E6+E7+E8-E9</f>
        <v>94.5</v>
      </c>
      <c r="F10" s="45"/>
      <c r="G10" s="44">
        <f>G5+G6+G7+G8-G9</f>
        <v>105.80000000000001</v>
      </c>
      <c r="H10" s="45"/>
      <c r="I10" s="44">
        <f>I5+I6+I7+I8-I9</f>
        <v>96.3</v>
      </c>
      <c r="J10" s="45"/>
      <c r="K10" s="44">
        <f>K5+K6+K7+K8-K9</f>
        <v>167.5</v>
      </c>
      <c r="L10" s="45"/>
      <c r="M10" s="44">
        <f>M5+M6+M7+M8-M9</f>
        <v>145.5</v>
      </c>
      <c r="N10" s="45"/>
      <c r="P10" s="45"/>
    </row>
    <row r="11" spans="2:36" s="44" customFormat="1" x14ac:dyDescent="0.2">
      <c r="B11" s="44" t="s">
        <v>70</v>
      </c>
      <c r="C11" s="44">
        <v>15.1</v>
      </c>
      <c r="D11" s="45"/>
      <c r="E11" s="44">
        <v>19.899999999999999</v>
      </c>
      <c r="F11" s="45"/>
      <c r="G11" s="44">
        <v>20.8</v>
      </c>
      <c r="H11" s="45"/>
      <c r="I11" s="44">
        <v>19</v>
      </c>
      <c r="J11" s="45"/>
      <c r="K11" s="44">
        <v>31.8</v>
      </c>
      <c r="L11" s="45"/>
      <c r="M11" s="44">
        <v>30.7</v>
      </c>
      <c r="N11" s="45"/>
      <c r="P11" s="45"/>
    </row>
    <row r="12" spans="2:36" s="42" customFormat="1" x14ac:dyDescent="0.2">
      <c r="B12" s="42" t="s">
        <v>71</v>
      </c>
      <c r="C12" s="42">
        <f>C10-C11</f>
        <v>61.699999999999996</v>
      </c>
      <c r="D12" s="43"/>
      <c r="E12" s="42">
        <f>E10-E11</f>
        <v>74.599999999999994</v>
      </c>
      <c r="F12" s="43"/>
      <c r="G12" s="42">
        <f>G10-G11</f>
        <v>85.000000000000014</v>
      </c>
      <c r="H12" s="43"/>
      <c r="I12" s="42">
        <f>I10-I11</f>
        <v>77.3</v>
      </c>
      <c r="J12" s="43"/>
      <c r="K12" s="42">
        <f>K10-K11</f>
        <v>135.69999999999999</v>
      </c>
      <c r="L12" s="43"/>
      <c r="M12" s="42">
        <f>M10-M11</f>
        <v>114.8</v>
      </c>
      <c r="N12" s="43"/>
      <c r="P12" s="43"/>
    </row>
    <row r="13" spans="2:36" s="42" customFormat="1" x14ac:dyDescent="0.2">
      <c r="B13" s="44" t="s">
        <v>74</v>
      </c>
      <c r="C13" s="42">
        <f>C12+C14</f>
        <v>61.699999999999996</v>
      </c>
      <c r="D13" s="43"/>
      <c r="E13" s="42">
        <f>E12+E14</f>
        <v>74.599999999999994</v>
      </c>
      <c r="F13" s="43"/>
      <c r="G13" s="42">
        <f>G12+G14</f>
        <v>85.000000000000014</v>
      </c>
      <c r="H13" s="43"/>
      <c r="I13" s="42">
        <f>I12+I14</f>
        <v>77.3</v>
      </c>
      <c r="J13" s="43"/>
      <c r="K13" s="42">
        <f>K12+K14</f>
        <v>135.79999999999998</v>
      </c>
      <c r="L13" s="43"/>
      <c r="M13" s="42">
        <f>M12+M14</f>
        <v>115</v>
      </c>
      <c r="N13" s="43"/>
      <c r="P13" s="43"/>
    </row>
    <row r="14" spans="2:36" s="44" customFormat="1" x14ac:dyDescent="0.2">
      <c r="B14" s="44" t="s">
        <v>72</v>
      </c>
      <c r="C14" s="55">
        <v>0</v>
      </c>
      <c r="D14" s="45"/>
      <c r="E14" s="55">
        <v>0</v>
      </c>
      <c r="F14" s="45"/>
      <c r="G14" s="55">
        <v>0</v>
      </c>
      <c r="H14" s="45"/>
      <c r="I14" s="55">
        <v>0</v>
      </c>
      <c r="J14" s="45"/>
      <c r="K14" s="44">
        <v>0.1</v>
      </c>
      <c r="L14" s="45"/>
      <c r="M14" s="44">
        <v>0.2</v>
      </c>
      <c r="N14" s="45"/>
      <c r="P14" s="45"/>
    </row>
    <row r="15" spans="2:36" s="46" customFormat="1" x14ac:dyDescent="0.2">
      <c r="B15" s="46" t="s">
        <v>73</v>
      </c>
      <c r="C15" s="46">
        <f>C12/C16</f>
        <v>0.16270266756508422</v>
      </c>
      <c r="D15" s="47"/>
      <c r="E15" s="46">
        <f>E12/E16</f>
        <v>0.19681108372907286</v>
      </c>
      <c r="F15" s="47"/>
      <c r="G15" s="46">
        <f>G12/G16</f>
        <v>0.22419479233636896</v>
      </c>
      <c r="H15" s="47"/>
      <c r="I15" s="46">
        <f>I12/I16</f>
        <v>0.20390802308932054</v>
      </c>
      <c r="J15" s="47"/>
      <c r="K15" s="46">
        <f>K12/K16</f>
        <v>0.35795304668952777</v>
      </c>
      <c r="L15" s="47"/>
      <c r="M15" s="46">
        <f>M12/M16</f>
        <v>0.30354309888947645</v>
      </c>
      <c r="N15" s="47"/>
      <c r="P15" s="47"/>
    </row>
    <row r="16" spans="2:36" s="44" customFormat="1" x14ac:dyDescent="0.2">
      <c r="B16" s="44" t="s">
        <v>5</v>
      </c>
      <c r="C16" s="44">
        <v>379.21935100000002</v>
      </c>
      <c r="D16" s="45"/>
      <c r="E16" s="44">
        <v>379.04369300000002</v>
      </c>
      <c r="F16" s="45"/>
      <c r="G16" s="44">
        <v>379.13458700000001</v>
      </c>
      <c r="H16" s="45"/>
      <c r="I16" s="44">
        <v>379.092489</v>
      </c>
      <c r="J16" s="45"/>
      <c r="K16" s="44">
        <v>379.1</v>
      </c>
      <c r="L16" s="45"/>
      <c r="M16" s="44">
        <v>378.2</v>
      </c>
      <c r="N16" s="45"/>
      <c r="P16" s="45"/>
    </row>
    <row r="18" spans="2:16" s="50" customFormat="1" x14ac:dyDescent="0.2">
      <c r="B18" s="50" t="s">
        <v>75</v>
      </c>
      <c r="D18" s="51"/>
      <c r="E18" s="50">
        <f>E4/C4-1</f>
        <v>0.15642899466719329</v>
      </c>
      <c r="F18" s="51"/>
      <c r="G18" s="50">
        <f>G4/E4-1</f>
        <v>0.11648163962425295</v>
      </c>
      <c r="H18" s="51"/>
      <c r="I18" s="50">
        <f>I4/G4-1</f>
        <v>-5.4000305950742011E-2</v>
      </c>
      <c r="J18" s="51"/>
      <c r="K18" s="50">
        <f>K4/I4-1</f>
        <v>0.19210866752910749</v>
      </c>
      <c r="L18" s="51"/>
      <c r="M18" s="50">
        <f>M4/K4-1</f>
        <v>0.18760173629951149</v>
      </c>
      <c r="N18" s="51"/>
      <c r="P18" s="51"/>
    </row>
    <row r="19" spans="2:16" x14ac:dyDescent="0.2">
      <c r="B19" s="1" t="s">
        <v>76</v>
      </c>
    </row>
    <row r="21" spans="2:16" s="48" customFormat="1" x14ac:dyDescent="0.2">
      <c r="B21" s="48" t="s">
        <v>77</v>
      </c>
      <c r="C21" s="48">
        <f>C5/C4</f>
        <v>0.16156428994667194</v>
      </c>
      <c r="D21" s="49"/>
      <c r="E21" s="48">
        <f>E5/E4</f>
        <v>0.17147736976942785</v>
      </c>
      <c r="F21" s="49"/>
      <c r="G21" s="48">
        <f>G5/G4</f>
        <v>0.17072051399724641</v>
      </c>
      <c r="H21" s="49"/>
      <c r="I21" s="48">
        <f>I5/I4</f>
        <v>0.16510349288486417</v>
      </c>
      <c r="J21" s="49"/>
      <c r="K21" s="48">
        <f>K5/K4</f>
        <v>0.18665219750406944</v>
      </c>
      <c r="L21" s="49"/>
      <c r="M21" s="48">
        <f>M5/M4</f>
        <v>0.17327241576242147</v>
      </c>
      <c r="N21" s="49"/>
      <c r="P21" s="49"/>
    </row>
    <row r="22" spans="2:16" s="48" customFormat="1" x14ac:dyDescent="0.2">
      <c r="B22" s="48" t="s">
        <v>78</v>
      </c>
      <c r="C22" s="48">
        <f>C12/C4</f>
        <v>0.12186450720916452</v>
      </c>
      <c r="D22" s="49"/>
      <c r="E22" s="48">
        <f>E12/E4</f>
        <v>0.12741246797608879</v>
      </c>
      <c r="F22" s="49"/>
      <c r="G22" s="48">
        <f>G12/G4</f>
        <v>0.13002906532048342</v>
      </c>
      <c r="H22" s="49"/>
      <c r="I22" s="48">
        <f>I12/I4</f>
        <v>0.125</v>
      </c>
      <c r="J22" s="49"/>
      <c r="K22" s="48">
        <f>K12/K4</f>
        <v>0.18407487791644056</v>
      </c>
      <c r="L22" s="49"/>
      <c r="M22" s="48">
        <f>M12/M4</f>
        <v>0.1311250713877784</v>
      </c>
      <c r="N22" s="49"/>
      <c r="P22" s="49"/>
    </row>
    <row r="23" spans="2:16" s="48" customFormat="1" x14ac:dyDescent="0.2">
      <c r="B23" s="48" t="s">
        <v>79</v>
      </c>
      <c r="C23" s="48">
        <f>C11/C10</f>
        <v>0.19661458333333334</v>
      </c>
      <c r="D23" s="49"/>
      <c r="E23" s="48">
        <f>E11/E10</f>
        <v>0.21058201058201056</v>
      </c>
      <c r="F23" s="49"/>
      <c r="G23" s="48">
        <f>G11/G10</f>
        <v>0.19659735349716445</v>
      </c>
      <c r="H23" s="49"/>
      <c r="I23" s="48">
        <f>I11/I10</f>
        <v>0.19730010384215993</v>
      </c>
      <c r="J23" s="49"/>
      <c r="K23" s="48">
        <f>K11/K10</f>
        <v>0.18985074626865672</v>
      </c>
      <c r="L23" s="49"/>
      <c r="M23" s="48">
        <f>M11/M10</f>
        <v>0.21099656357388316</v>
      </c>
      <c r="N23" s="49"/>
      <c r="P23" s="49"/>
    </row>
    <row r="27" spans="2:16" x14ac:dyDescent="0.2">
      <c r="B27" s="52" t="s">
        <v>80</v>
      </c>
    </row>
    <row r="28" spans="2:16" x14ac:dyDescent="0.2">
      <c r="B28" s="1" t="s">
        <v>81</v>
      </c>
      <c r="C28" s="1">
        <f>216.4+586.8</f>
        <v>803.19999999999993</v>
      </c>
      <c r="E28" s="1">
        <f>655.6+229.9</f>
        <v>885.5</v>
      </c>
      <c r="G28" s="44">
        <f>765.5+272.4</f>
        <v>1037.9000000000001</v>
      </c>
      <c r="H28" s="45"/>
      <c r="I28" s="44">
        <f>829.8+303.8</f>
        <v>1133.5999999999999</v>
      </c>
      <c r="K28" s="44">
        <f>867.4+319.3</f>
        <v>1186.7</v>
      </c>
      <c r="M28" s="44">
        <f>1101.8+418.6</f>
        <v>1520.4</v>
      </c>
    </row>
    <row r="29" spans="2:16" x14ac:dyDescent="0.2">
      <c r="B29" s="1" t="s">
        <v>82</v>
      </c>
      <c r="C29" s="1">
        <v>102.6</v>
      </c>
      <c r="E29" s="1">
        <v>109.6</v>
      </c>
      <c r="G29" s="44">
        <v>171.7</v>
      </c>
      <c r="H29" s="45"/>
      <c r="I29" s="44">
        <v>184.7</v>
      </c>
      <c r="K29" s="44">
        <v>186.7</v>
      </c>
      <c r="M29" s="44">
        <v>224.5</v>
      </c>
    </row>
    <row r="30" spans="2:16" s="2" customFormat="1" x14ac:dyDescent="0.2">
      <c r="B30" s="2" t="s">
        <v>83</v>
      </c>
      <c r="C30" s="2">
        <v>3.4</v>
      </c>
      <c r="D30" s="35"/>
      <c r="E30" s="2">
        <v>3.9</v>
      </c>
      <c r="F30" s="35"/>
      <c r="G30" s="42">
        <v>5.5</v>
      </c>
      <c r="H30" s="43"/>
      <c r="I30" s="42">
        <v>4.8</v>
      </c>
      <c r="J30" s="35"/>
      <c r="K30" s="42">
        <v>9.9</v>
      </c>
      <c r="L30" s="35"/>
      <c r="M30" s="42">
        <v>19.8</v>
      </c>
      <c r="N30" s="35"/>
      <c r="P30" s="35"/>
    </row>
    <row r="31" spans="2:16" x14ac:dyDescent="0.2">
      <c r="B31" s="1" t="s">
        <v>84</v>
      </c>
      <c r="C31" s="1">
        <v>0</v>
      </c>
      <c r="E31" s="1">
        <v>0</v>
      </c>
      <c r="G31" s="44">
        <v>0</v>
      </c>
      <c r="H31" s="45"/>
      <c r="I31" s="44">
        <v>0</v>
      </c>
      <c r="K31" s="44">
        <v>4.8</v>
      </c>
      <c r="M31" s="44">
        <v>43.9</v>
      </c>
    </row>
    <row r="32" spans="2:16" x14ac:dyDescent="0.2">
      <c r="B32" s="1" t="s">
        <v>85</v>
      </c>
      <c r="C32" s="1">
        <v>0</v>
      </c>
      <c r="E32" s="1">
        <v>0</v>
      </c>
      <c r="G32" s="44">
        <v>0</v>
      </c>
      <c r="H32" s="45"/>
      <c r="I32" s="44">
        <v>0</v>
      </c>
      <c r="K32" s="44">
        <v>14.7</v>
      </c>
      <c r="M32" s="44">
        <v>14.7</v>
      </c>
    </row>
    <row r="33" spans="2:16" x14ac:dyDescent="0.2">
      <c r="B33" s="1" t="s">
        <v>86</v>
      </c>
      <c r="C33" s="1">
        <v>55.3</v>
      </c>
      <c r="E33" s="1">
        <v>30.9</v>
      </c>
      <c r="G33" s="44">
        <v>1.4</v>
      </c>
      <c r="H33" s="45"/>
      <c r="I33" s="44">
        <v>5.6</v>
      </c>
      <c r="K33" s="44">
        <v>1.9</v>
      </c>
      <c r="M33" s="44">
        <v>2.8</v>
      </c>
    </row>
    <row r="34" spans="2:16" x14ac:dyDescent="0.2">
      <c r="B34" s="1" t="s">
        <v>87</v>
      </c>
      <c r="C34" s="44">
        <f>SUM(C28:C33)</f>
        <v>964.49999999999989</v>
      </c>
      <c r="E34" s="44">
        <f>SUM(E28:E33)</f>
        <v>1029.9000000000001</v>
      </c>
      <c r="G34" s="44">
        <f>SUM(G28:G33)</f>
        <v>1216.5000000000002</v>
      </c>
      <c r="H34" s="45"/>
      <c r="I34" s="44">
        <f>SUM(I28:I33)</f>
        <v>1328.6999999999998</v>
      </c>
      <c r="K34" s="44">
        <f>SUM(K28:K33)</f>
        <v>1404.7000000000003</v>
      </c>
      <c r="M34" s="44">
        <f>SUM(M28:M33)</f>
        <v>1826.1000000000001</v>
      </c>
    </row>
    <row r="35" spans="2:16" x14ac:dyDescent="0.2">
      <c r="B35" s="1" t="s">
        <v>88</v>
      </c>
      <c r="C35" s="1">
        <v>124.2</v>
      </c>
      <c r="E35" s="1">
        <v>141.19999999999999</v>
      </c>
      <c r="G35" s="44">
        <v>162.9</v>
      </c>
      <c r="H35" s="45"/>
      <c r="I35" s="44">
        <v>175.8</v>
      </c>
      <c r="K35" s="44">
        <v>193.2</v>
      </c>
      <c r="M35" s="44">
        <v>308.8</v>
      </c>
    </row>
    <row r="36" spans="2:16" x14ac:dyDescent="0.2">
      <c r="B36" s="1" t="s">
        <v>89</v>
      </c>
      <c r="C36" s="1">
        <v>203.4</v>
      </c>
      <c r="E36" s="1">
        <v>241.8</v>
      </c>
      <c r="G36" s="44">
        <v>275.2</v>
      </c>
      <c r="H36" s="45"/>
      <c r="I36" s="44">
        <v>245.3</v>
      </c>
      <c r="K36" s="44">
        <v>279.2</v>
      </c>
      <c r="M36" s="44">
        <v>389.9</v>
      </c>
    </row>
    <row r="37" spans="2:16" x14ac:dyDescent="0.2">
      <c r="B37" s="1" t="s">
        <v>85</v>
      </c>
      <c r="C37" s="1">
        <v>0.4</v>
      </c>
      <c r="E37" s="1">
        <v>0.7</v>
      </c>
      <c r="G37" s="44">
        <v>4.8</v>
      </c>
      <c r="H37" s="45"/>
      <c r="I37" s="44">
        <v>6.5</v>
      </c>
      <c r="K37" s="44">
        <v>4.4000000000000004</v>
      </c>
      <c r="M37" s="44">
        <v>1.9</v>
      </c>
    </row>
    <row r="38" spans="2:16" s="2" customFormat="1" x14ac:dyDescent="0.2">
      <c r="B38" s="2" t="s">
        <v>90</v>
      </c>
      <c r="C38" s="2">
        <v>71.7</v>
      </c>
      <c r="D38" s="35"/>
      <c r="E38" s="2">
        <v>66.400000000000006</v>
      </c>
      <c r="F38" s="35"/>
      <c r="G38" s="44">
        <v>83.2</v>
      </c>
      <c r="H38" s="43"/>
      <c r="I38" s="42">
        <v>125.5</v>
      </c>
      <c r="J38" s="35"/>
      <c r="K38" s="42">
        <v>131.1</v>
      </c>
      <c r="L38" s="35"/>
      <c r="M38" s="42">
        <v>213.4</v>
      </c>
      <c r="N38" s="35"/>
      <c r="P38" s="35"/>
    </row>
    <row r="39" spans="2:16" s="2" customFormat="1" x14ac:dyDescent="0.2">
      <c r="B39" s="2" t="s">
        <v>98</v>
      </c>
      <c r="C39" s="2">
        <v>0.6</v>
      </c>
      <c r="D39" s="35"/>
      <c r="E39" s="2">
        <v>0.3</v>
      </c>
      <c r="F39" s="35"/>
      <c r="G39" s="42">
        <v>0.9</v>
      </c>
      <c r="H39" s="43"/>
      <c r="I39" s="42">
        <v>0.4</v>
      </c>
      <c r="J39" s="35"/>
      <c r="K39" s="42">
        <v>0.6</v>
      </c>
      <c r="L39" s="35"/>
      <c r="M39" s="42">
        <v>1.2</v>
      </c>
      <c r="N39" s="35"/>
      <c r="P39" s="35"/>
    </row>
    <row r="40" spans="2:16" x14ac:dyDescent="0.2">
      <c r="B40" s="1" t="s">
        <v>91</v>
      </c>
      <c r="C40" s="44">
        <f>SUM(C35:C39)+C34</f>
        <v>1364.8</v>
      </c>
      <c r="E40" s="44">
        <f>SUM(E35:E39)+E34</f>
        <v>1480.3000000000002</v>
      </c>
      <c r="G40" s="44">
        <f>SUM(G35:G39)+G34</f>
        <v>1743.5000000000002</v>
      </c>
      <c r="H40" s="45"/>
      <c r="I40" s="44">
        <f>SUM(I35:I39)+I34</f>
        <v>1882.1999999999998</v>
      </c>
      <c r="K40" s="44">
        <f>SUM(K35:K39)+K34</f>
        <v>2013.2000000000003</v>
      </c>
      <c r="M40" s="44">
        <f>SUM(M35:M39)+M34</f>
        <v>2741.3</v>
      </c>
    </row>
    <row r="41" spans="2:16" x14ac:dyDescent="0.2">
      <c r="G41" s="44"/>
      <c r="H41" s="45"/>
      <c r="I41" s="44"/>
      <c r="M41" s="44"/>
    </row>
    <row r="42" spans="2:16" s="2" customFormat="1" x14ac:dyDescent="0.2">
      <c r="B42" s="2" t="s">
        <v>92</v>
      </c>
      <c r="C42" s="42">
        <v>0.2</v>
      </c>
      <c r="D42" s="43"/>
      <c r="E42" s="42">
        <v>3</v>
      </c>
      <c r="F42" s="43"/>
      <c r="G42" s="42">
        <v>1.7</v>
      </c>
      <c r="H42" s="43"/>
      <c r="I42" s="42">
        <v>76.099999999999994</v>
      </c>
      <c r="J42" s="43"/>
      <c r="K42" s="42">
        <v>206.1</v>
      </c>
      <c r="L42" s="43"/>
      <c r="M42" s="42">
        <v>256.39999999999998</v>
      </c>
      <c r="N42" s="35"/>
      <c r="P42" s="35"/>
    </row>
    <row r="43" spans="2:16" x14ac:dyDescent="0.2">
      <c r="B43" s="1" t="s">
        <v>93</v>
      </c>
      <c r="C43" s="44">
        <v>0</v>
      </c>
      <c r="D43" s="45"/>
      <c r="E43" s="44">
        <v>0</v>
      </c>
      <c r="F43" s="45"/>
      <c r="G43" s="44">
        <v>12.3</v>
      </c>
      <c r="H43" s="45"/>
      <c r="I43" s="44">
        <v>13</v>
      </c>
      <c r="J43" s="45"/>
      <c r="K43" s="44">
        <v>3</v>
      </c>
      <c r="L43" s="45"/>
      <c r="M43" s="44">
        <v>78.8</v>
      </c>
    </row>
    <row r="44" spans="2:16" x14ac:dyDescent="0.2">
      <c r="B44" s="1" t="s">
        <v>94</v>
      </c>
      <c r="C44" s="44">
        <v>0</v>
      </c>
      <c r="D44" s="45"/>
      <c r="E44" s="44">
        <v>0</v>
      </c>
      <c r="F44" s="45"/>
      <c r="G44" s="44">
        <v>0</v>
      </c>
      <c r="H44" s="45"/>
      <c r="I44" s="44">
        <v>0</v>
      </c>
      <c r="J44" s="45"/>
      <c r="K44" s="44">
        <v>14.2</v>
      </c>
      <c r="L44" s="45"/>
      <c r="M44" s="44">
        <v>19.399999999999999</v>
      </c>
    </row>
    <row r="45" spans="2:16" x14ac:dyDescent="0.2">
      <c r="B45" s="1" t="s">
        <v>95</v>
      </c>
      <c r="C45" s="44">
        <v>125.7</v>
      </c>
      <c r="D45" s="45"/>
      <c r="E45" s="44">
        <v>154.5</v>
      </c>
      <c r="F45" s="45"/>
      <c r="G45" s="44">
        <v>157.9</v>
      </c>
      <c r="H45" s="45"/>
      <c r="I45" s="44">
        <v>158.69999999999999</v>
      </c>
      <c r="J45" s="45"/>
      <c r="K45" s="44">
        <v>22</v>
      </c>
      <c r="L45" s="45"/>
      <c r="M45" s="44">
        <v>26.5</v>
      </c>
    </row>
    <row r="46" spans="2:16" x14ac:dyDescent="0.2">
      <c r="B46" s="1" t="s">
        <v>96</v>
      </c>
      <c r="C46" s="44">
        <v>4.7</v>
      </c>
      <c r="D46" s="45"/>
      <c r="E46" s="44">
        <v>18.2</v>
      </c>
      <c r="F46" s="45"/>
      <c r="G46" s="44">
        <v>20.5</v>
      </c>
      <c r="H46" s="45"/>
      <c r="I46" s="44">
        <v>30.5</v>
      </c>
      <c r="J46" s="45"/>
      <c r="K46" s="44">
        <v>13.8</v>
      </c>
      <c r="L46" s="45"/>
      <c r="M46" s="44">
        <v>15.8</v>
      </c>
    </row>
    <row r="47" spans="2:16" x14ac:dyDescent="0.2">
      <c r="B47" s="1" t="s">
        <v>86</v>
      </c>
      <c r="C47" s="44">
        <v>14.9</v>
      </c>
      <c r="D47" s="45"/>
      <c r="E47" s="44">
        <v>13.3</v>
      </c>
      <c r="F47" s="45"/>
      <c r="G47" s="44">
        <v>13.4</v>
      </c>
      <c r="H47" s="45"/>
      <c r="I47" s="44">
        <v>11.3</v>
      </c>
      <c r="J47" s="45"/>
      <c r="K47" s="44">
        <v>0.2</v>
      </c>
      <c r="L47" s="45"/>
      <c r="M47" s="44">
        <v>3.4</v>
      </c>
    </row>
    <row r="48" spans="2:16" s="2" customFormat="1" x14ac:dyDescent="0.2">
      <c r="B48" s="2" t="s">
        <v>98</v>
      </c>
      <c r="C48" s="42">
        <v>0.4</v>
      </c>
      <c r="D48" s="43"/>
      <c r="E48" s="42">
        <v>0.5</v>
      </c>
      <c r="F48" s="43"/>
      <c r="G48" s="42">
        <v>0.7</v>
      </c>
      <c r="H48" s="43"/>
      <c r="I48" s="42">
        <v>0.9</v>
      </c>
      <c r="J48" s="43"/>
      <c r="K48" s="42">
        <v>0</v>
      </c>
      <c r="L48" s="43"/>
      <c r="M48" s="42">
        <v>0</v>
      </c>
      <c r="N48" s="35"/>
      <c r="P48" s="35"/>
    </row>
    <row r="49" spans="2:16" x14ac:dyDescent="0.2">
      <c r="B49" s="1" t="s">
        <v>104</v>
      </c>
      <c r="C49" s="44">
        <f>SUM(C42:C48)</f>
        <v>145.9</v>
      </c>
      <c r="D49" s="45"/>
      <c r="E49" s="44">
        <f>SUM(E42:E48)</f>
        <v>189.5</v>
      </c>
      <c r="F49" s="45"/>
      <c r="G49" s="44">
        <f>SUM(G42:G48)</f>
        <v>206.5</v>
      </c>
      <c r="H49" s="45"/>
      <c r="I49" s="44">
        <f>SUM(I42:I48)</f>
        <v>290.49999999999994</v>
      </c>
      <c r="J49" s="45"/>
      <c r="K49" s="44">
        <f>SUM(K42:K48)</f>
        <v>259.29999999999995</v>
      </c>
      <c r="L49" s="45"/>
      <c r="M49" s="44">
        <f>SUM(M42:M48)</f>
        <v>400.29999999999995</v>
      </c>
    </row>
    <row r="50" spans="2:16" s="2" customFormat="1" x14ac:dyDescent="0.2">
      <c r="B50" s="2" t="s">
        <v>92</v>
      </c>
      <c r="C50" s="42">
        <v>252.5</v>
      </c>
      <c r="D50" s="43"/>
      <c r="E50" s="42">
        <v>258</v>
      </c>
      <c r="F50" s="43"/>
      <c r="G50" s="42">
        <v>334.9</v>
      </c>
      <c r="H50" s="43"/>
      <c r="I50" s="42">
        <v>300</v>
      </c>
      <c r="J50" s="43"/>
      <c r="K50" s="42">
        <v>340.7</v>
      </c>
      <c r="L50" s="43"/>
      <c r="M50" s="42">
        <v>545.6</v>
      </c>
      <c r="N50" s="35"/>
      <c r="P50" s="35"/>
    </row>
    <row r="51" spans="2:16" x14ac:dyDescent="0.2">
      <c r="B51" s="1" t="s">
        <v>93</v>
      </c>
      <c r="C51" s="44">
        <v>0</v>
      </c>
      <c r="D51" s="45"/>
      <c r="E51" s="44">
        <v>0</v>
      </c>
      <c r="F51" s="45"/>
      <c r="G51" s="44">
        <v>44.7</v>
      </c>
      <c r="H51" s="45"/>
      <c r="I51" s="44">
        <v>51.4</v>
      </c>
      <c r="J51" s="45"/>
      <c r="K51" s="44">
        <v>53.4</v>
      </c>
      <c r="L51" s="45"/>
      <c r="M51" s="44">
        <v>69.2</v>
      </c>
    </row>
    <row r="52" spans="2:16" x14ac:dyDescent="0.2">
      <c r="B52" s="1" t="s">
        <v>94</v>
      </c>
      <c r="C52" s="44">
        <v>66.8</v>
      </c>
      <c r="D52" s="45"/>
      <c r="E52" s="44">
        <v>20.7</v>
      </c>
      <c r="F52" s="45"/>
      <c r="G52" s="44">
        <v>27.6</v>
      </c>
      <c r="H52" s="45"/>
      <c r="I52" s="44">
        <v>45</v>
      </c>
      <c r="J52" s="45"/>
      <c r="K52" s="44">
        <v>10.1</v>
      </c>
      <c r="L52" s="45"/>
      <c r="M52" s="44">
        <v>0.7</v>
      </c>
    </row>
    <row r="53" spans="2:16" x14ac:dyDescent="0.2">
      <c r="B53" s="1" t="s">
        <v>95</v>
      </c>
      <c r="C53" s="44">
        <v>11.4</v>
      </c>
      <c r="D53" s="45"/>
      <c r="E53" s="44">
        <v>9.6999999999999993</v>
      </c>
      <c r="F53" s="45"/>
      <c r="G53" s="44">
        <v>13.3</v>
      </c>
      <c r="H53" s="45"/>
      <c r="I53" s="44">
        <v>16.3</v>
      </c>
      <c r="J53" s="45"/>
      <c r="K53" s="44">
        <v>15.2</v>
      </c>
      <c r="L53" s="45"/>
      <c r="M53" s="44">
        <v>21.4</v>
      </c>
    </row>
    <row r="54" spans="2:16" x14ac:dyDescent="0.2">
      <c r="B54" s="1" t="s">
        <v>96</v>
      </c>
      <c r="C54" s="44">
        <v>16.899999999999999</v>
      </c>
      <c r="D54" s="45"/>
      <c r="E54" s="44">
        <v>4.7</v>
      </c>
      <c r="F54" s="45"/>
      <c r="G54" s="44">
        <v>7.9</v>
      </c>
      <c r="H54" s="45"/>
      <c r="I54" s="44">
        <v>14.3</v>
      </c>
      <c r="J54" s="45"/>
      <c r="K54" s="44">
        <v>6.3</v>
      </c>
      <c r="L54" s="45"/>
      <c r="M54" s="44">
        <v>7.9</v>
      </c>
    </row>
    <row r="55" spans="2:16" x14ac:dyDescent="0.2">
      <c r="B55" s="1" t="s">
        <v>86</v>
      </c>
      <c r="C55" s="44">
        <v>96</v>
      </c>
      <c r="D55" s="45"/>
      <c r="E55" s="44">
        <v>70.400000000000006</v>
      </c>
      <c r="F55" s="45"/>
      <c r="G55" s="44">
        <v>41.1</v>
      </c>
      <c r="H55" s="45"/>
      <c r="I55" s="44">
        <v>41.7</v>
      </c>
      <c r="J55" s="45"/>
      <c r="K55" s="44">
        <v>51.1</v>
      </c>
      <c r="L55" s="45"/>
      <c r="M55" s="44">
        <v>69.2</v>
      </c>
    </row>
    <row r="56" spans="2:16" x14ac:dyDescent="0.2">
      <c r="B56" s="1" t="s">
        <v>97</v>
      </c>
      <c r="C56" s="44">
        <f>C49+SUM(C50:C55)</f>
        <v>589.5</v>
      </c>
      <c r="D56" s="45"/>
      <c r="E56" s="44">
        <f>E49+SUM(E50:E55)</f>
        <v>553</v>
      </c>
      <c r="F56" s="45"/>
      <c r="G56" s="44">
        <f>G49+SUM(G50:G55)</f>
        <v>676</v>
      </c>
      <c r="H56" s="45"/>
      <c r="I56" s="44">
        <f>I49+SUM(I50:I55)</f>
        <v>759.19999999999993</v>
      </c>
      <c r="J56" s="45"/>
      <c r="K56" s="44">
        <f>K49+SUM(K50:K55)</f>
        <v>736.09999999999991</v>
      </c>
      <c r="L56" s="45"/>
      <c r="M56" s="44">
        <f>M49+SUM(M50:M55)</f>
        <v>1114.3000000000002</v>
      </c>
    </row>
    <row r="57" spans="2:16" x14ac:dyDescent="0.2">
      <c r="M57" s="44"/>
    </row>
    <row r="58" spans="2:16" s="44" customFormat="1" x14ac:dyDescent="0.2">
      <c r="B58" s="44" t="s">
        <v>99</v>
      </c>
      <c r="C58" s="44">
        <v>775.3</v>
      </c>
      <c r="D58" s="45"/>
      <c r="E58" s="44">
        <v>927.3</v>
      </c>
      <c r="F58" s="45"/>
      <c r="G58" s="44">
        <v>1067.5</v>
      </c>
      <c r="H58" s="45"/>
      <c r="I58" s="44">
        <v>1123</v>
      </c>
      <c r="J58" s="45"/>
      <c r="K58" s="44">
        <v>1277.0999999999999</v>
      </c>
      <c r="L58" s="45"/>
      <c r="M58" s="44">
        <v>1627</v>
      </c>
      <c r="N58" s="45"/>
      <c r="P58" s="45"/>
    </row>
    <row r="59" spans="2:16" x14ac:dyDescent="0.2">
      <c r="B59" s="1" t="s">
        <v>100</v>
      </c>
      <c r="C59" s="44">
        <f>C58+C56</f>
        <v>1364.8</v>
      </c>
      <c r="E59" s="44">
        <f>E58+E56</f>
        <v>1480.3</v>
      </c>
      <c r="G59" s="44">
        <f>G58+G56</f>
        <v>1743.5</v>
      </c>
      <c r="I59" s="44">
        <f>I58+I56</f>
        <v>1882.1999999999998</v>
      </c>
      <c r="K59" s="44">
        <f>K58+K56</f>
        <v>2013.1999999999998</v>
      </c>
      <c r="M59" s="44">
        <f>M58+M56</f>
        <v>2741.3</v>
      </c>
    </row>
    <row r="61" spans="2:16" x14ac:dyDescent="0.2">
      <c r="B61" s="1" t="s">
        <v>101</v>
      </c>
      <c r="C61" s="44">
        <f>C40-C56</f>
        <v>775.3</v>
      </c>
      <c r="E61" s="44">
        <f>E40-E56</f>
        <v>927.30000000000018</v>
      </c>
      <c r="G61" s="44">
        <f>G40-G56</f>
        <v>1067.5000000000002</v>
      </c>
      <c r="I61" s="44">
        <f>I40-I56</f>
        <v>1123</v>
      </c>
      <c r="K61" s="44">
        <f>K40-K56</f>
        <v>1277.1000000000004</v>
      </c>
      <c r="M61" s="44">
        <f>M40-M56</f>
        <v>1627</v>
      </c>
    </row>
    <row r="62" spans="2:16" x14ac:dyDescent="0.2">
      <c r="B62" s="1" t="s">
        <v>102</v>
      </c>
      <c r="C62" s="1">
        <f>C61/C16</f>
        <v>2.0444631793064798</v>
      </c>
      <c r="E62" s="1">
        <f>E61/E16</f>
        <v>2.4464198115545486</v>
      </c>
      <c r="G62" s="1">
        <f>G61/G16</f>
        <v>2.815622833165575</v>
      </c>
      <c r="I62" s="1">
        <f>I61/I16</f>
        <v>2.9623377739884473</v>
      </c>
      <c r="K62" s="1">
        <f>K61/K16</f>
        <v>3.368768135056714</v>
      </c>
      <c r="M62" s="1">
        <f>M61/M16</f>
        <v>4.3019566367001589</v>
      </c>
    </row>
    <row r="64" spans="2:16" x14ac:dyDescent="0.2">
      <c r="B64" s="1" t="s">
        <v>7</v>
      </c>
      <c r="C64" s="44">
        <f>C38+C39+C30</f>
        <v>75.7</v>
      </c>
      <c r="E64" s="44">
        <f>E38+E39+E30</f>
        <v>70.600000000000009</v>
      </c>
      <c r="G64" s="44">
        <f>G38+G39+G30</f>
        <v>89.600000000000009</v>
      </c>
      <c r="I64" s="44">
        <f>I38+I39+I30</f>
        <v>130.70000000000002</v>
      </c>
      <c r="K64" s="44">
        <f>K38+K39+K30</f>
        <v>141.6</v>
      </c>
      <c r="M64" s="44">
        <f>M38+M39+M30</f>
        <v>234.4</v>
      </c>
    </row>
    <row r="65" spans="1:16" x14ac:dyDescent="0.2">
      <c r="B65" s="1" t="s">
        <v>8</v>
      </c>
      <c r="C65" s="44">
        <f>C50+C42+C48</f>
        <v>253.1</v>
      </c>
      <c r="E65" s="44">
        <f>E50+E42+E48</f>
        <v>261.5</v>
      </c>
      <c r="G65" s="44">
        <f>G50+G42+G48</f>
        <v>337.29999999999995</v>
      </c>
      <c r="I65" s="44">
        <f>I50+I42+I48</f>
        <v>377</v>
      </c>
      <c r="K65" s="44">
        <f>K50+K42+K48</f>
        <v>546.79999999999995</v>
      </c>
      <c r="M65" s="44">
        <f>M50+M42+M48</f>
        <v>802</v>
      </c>
    </row>
    <row r="66" spans="1:16" x14ac:dyDescent="0.2">
      <c r="B66" s="1" t="s">
        <v>9</v>
      </c>
      <c r="C66" s="44">
        <f>C64-C65</f>
        <v>-177.39999999999998</v>
      </c>
      <c r="E66" s="44">
        <f>E64-E65</f>
        <v>-190.89999999999998</v>
      </c>
      <c r="G66" s="44">
        <f>G64-G65</f>
        <v>-247.69999999999993</v>
      </c>
      <c r="I66" s="44">
        <f>I64-I65</f>
        <v>-246.29999999999998</v>
      </c>
      <c r="K66" s="44">
        <f>K64-K65</f>
        <v>-405.19999999999993</v>
      </c>
      <c r="M66" s="44">
        <f>M64-M65</f>
        <v>-567.6</v>
      </c>
    </row>
    <row r="68" spans="1:16" s="46" customFormat="1" x14ac:dyDescent="0.2">
      <c r="B68" s="46" t="s">
        <v>103</v>
      </c>
      <c r="C68" s="46">
        <v>10.8497</v>
      </c>
      <c r="D68" s="47"/>
      <c r="E68" s="46">
        <v>14.0044</v>
      </c>
      <c r="F68" s="47"/>
      <c r="G68" s="46">
        <v>19.282</v>
      </c>
      <c r="H68" s="47"/>
      <c r="I68" s="46">
        <v>23.1129</v>
      </c>
      <c r="J68" s="47"/>
      <c r="K68" s="46">
        <v>28.1996</v>
      </c>
      <c r="L68" s="47"/>
      <c r="M68" s="46">
        <v>20.45</v>
      </c>
      <c r="N68" s="47"/>
      <c r="P68" s="47"/>
    </row>
    <row r="69" spans="1:16" x14ac:dyDescent="0.2">
      <c r="B69" s="1" t="s">
        <v>6</v>
      </c>
      <c r="C69" s="44">
        <f>C68*C16</f>
        <v>4114.4161925447006</v>
      </c>
      <c r="E69" s="44">
        <f>E68*E16</f>
        <v>5308.2794942492001</v>
      </c>
      <c r="G69" s="44">
        <f>G68*G16</f>
        <v>7310.4731065340002</v>
      </c>
      <c r="I69" s="44">
        <f>I68*I16</f>
        <v>8761.9267890080991</v>
      </c>
      <c r="K69" s="44">
        <f>K68*K16</f>
        <v>10690.468360000001</v>
      </c>
      <c r="M69" s="44">
        <f>M68*M16</f>
        <v>7734.19</v>
      </c>
    </row>
    <row r="70" spans="1:16" x14ac:dyDescent="0.2">
      <c r="B70" s="1" t="s">
        <v>10</v>
      </c>
      <c r="C70" s="44">
        <f>C69-C66</f>
        <v>4291.8161925447002</v>
      </c>
      <c r="E70" s="44">
        <f>E69-E66</f>
        <v>5499.1794942491997</v>
      </c>
      <c r="G70" s="44">
        <f>G69-G66</f>
        <v>7558.173106534</v>
      </c>
      <c r="I70" s="44">
        <f>I69-I66</f>
        <v>9008.2267890080984</v>
      </c>
      <c r="K70" s="44">
        <f>K69-K66</f>
        <v>11095.668360000001</v>
      </c>
      <c r="M70" s="44">
        <f>M69-M66</f>
        <v>8301.7899999999991</v>
      </c>
    </row>
    <row r="72" spans="1:16" x14ac:dyDescent="0.2">
      <c r="A72" s="56">
        <f>AVERAGE(C72:AZ72)</f>
        <v>6.467721604504824</v>
      </c>
      <c r="B72" s="1" t="s">
        <v>22</v>
      </c>
      <c r="C72" s="53">
        <f>C68/C62</f>
        <v>5.306869847213596</v>
      </c>
      <c r="E72" s="53">
        <f>E68/E62</f>
        <v>5.7244467747753687</v>
      </c>
      <c r="G72" s="53">
        <f>G68/G62</f>
        <v>6.8482183667765799</v>
      </c>
      <c r="I72" s="53">
        <f>I68/I62</f>
        <v>7.8022500347356187</v>
      </c>
      <c r="K72" s="53">
        <f>K68/K62</f>
        <v>8.3708937123169669</v>
      </c>
      <c r="M72" s="53">
        <f>M68/M62</f>
        <v>4.7536508912108166</v>
      </c>
    </row>
    <row r="73" spans="1:16" x14ac:dyDescent="0.2">
      <c r="B73" s="1" t="s">
        <v>23</v>
      </c>
    </row>
    <row r="74" spans="1:16" x14ac:dyDescent="0.2">
      <c r="B74" s="1" t="s">
        <v>24</v>
      </c>
    </row>
    <row r="75" spans="1:16" x14ac:dyDescent="0.2">
      <c r="B75" s="1" t="s">
        <v>25</v>
      </c>
    </row>
    <row r="76" spans="1:16" x14ac:dyDescent="0.2">
      <c r="B76" s="1" t="s">
        <v>26</v>
      </c>
      <c r="M76" s="48"/>
    </row>
    <row r="77" spans="1:16" x14ac:dyDescent="0.2">
      <c r="B77" s="1" t="s">
        <v>27</v>
      </c>
    </row>
  </sheetData>
  <hyperlinks>
    <hyperlink ref="M1" r:id="rId1" xr:uid="{64230965-EEC2-4818-9500-5E49F2C6FBF5}"/>
    <hyperlink ref="I1" r:id="rId2" xr:uid="{879E0608-9977-4013-9DB7-7908B60FAFB2}"/>
    <hyperlink ref="E1" r:id="rId3" xr:uid="{D2F2E719-2F49-4057-B46A-7E29B8F345FA}"/>
  </hyperlinks>
  <pageMargins left="0.7" right="0.7" top="0.75" bottom="0.75" header="0.3" footer="0.3"/>
  <pageSetup paperSize="256" orientation="portrait" horizontalDpi="203" verticalDpi="203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2022-11-24T15:28:24Z</dcterms:created>
  <dcterms:modified xsi:type="dcterms:W3CDTF">2022-11-24T20:37:31Z</dcterms:modified>
</cp:coreProperties>
</file>