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D29E605-2915-40F1-B15D-26F68B3B27AD}" xr6:coauthVersionLast="36" xr6:coauthVersionMax="36" xr10:uidLastSave="{00000000-0000-0000-0000-000000000000}"/>
  <bookViews>
    <workbookView xWindow="0" yWindow="0" windowWidth="28800" windowHeight="12225" activeTab="1" xr2:uid="{1EC168B4-1311-4642-A238-D70265844B27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4" i="2" l="1"/>
  <c r="AE14" i="2"/>
  <c r="AP30" i="2"/>
  <c r="AP27" i="2"/>
  <c r="AD14" i="2"/>
  <c r="AD11" i="2"/>
  <c r="AD10" i="2"/>
  <c r="AC14" i="2"/>
  <c r="AC11" i="2"/>
  <c r="AC10" i="2"/>
  <c r="V19" i="2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V14" i="2"/>
  <c r="V10" i="2"/>
  <c r="V11" i="2"/>
  <c r="V24" i="2"/>
  <c r="V22" i="2"/>
  <c r="V4" i="2" s="1"/>
  <c r="V9" i="2" l="1"/>
  <c r="AC9" i="2" s="1"/>
  <c r="V7" i="2"/>
  <c r="AC7" i="2" s="1"/>
  <c r="AC4" i="2"/>
  <c r="AD4" i="2" s="1"/>
  <c r="AD9" i="2" s="1"/>
  <c r="V5" i="2"/>
  <c r="V6" i="2" s="1"/>
  <c r="V8" i="2"/>
  <c r="AC8" i="2" s="1"/>
  <c r="C10" i="1"/>
  <c r="AC12" i="2" l="1"/>
  <c r="AC29" i="2"/>
  <c r="AD8" i="2"/>
  <c r="AD5" i="2"/>
  <c r="AD6" i="2" s="1"/>
  <c r="AE4" i="2"/>
  <c r="AD7" i="2"/>
  <c r="AD29" i="2" s="1"/>
  <c r="AC5" i="2"/>
  <c r="AC6" i="2" s="1"/>
  <c r="AC24" i="2" s="1"/>
  <c r="V30" i="2"/>
  <c r="V29" i="2"/>
  <c r="AC21" i="2"/>
  <c r="V12" i="2"/>
  <c r="V13" i="2" s="1"/>
  <c r="C35" i="1"/>
  <c r="C37" i="1"/>
  <c r="C33" i="1"/>
  <c r="C39" i="1"/>
  <c r="C38" i="1"/>
  <c r="C9" i="1"/>
  <c r="C7" i="1"/>
  <c r="D28" i="1"/>
  <c r="T81" i="2"/>
  <c r="U82" i="2"/>
  <c r="U81" i="2"/>
  <c r="U80" i="2"/>
  <c r="U78" i="2"/>
  <c r="U77" i="2"/>
  <c r="U74" i="2"/>
  <c r="U73" i="2"/>
  <c r="U72" i="2"/>
  <c r="U70" i="2"/>
  <c r="U69" i="2"/>
  <c r="U67" i="2"/>
  <c r="U64" i="2"/>
  <c r="U59" i="2"/>
  <c r="U52" i="2"/>
  <c r="U50" i="2"/>
  <c r="U46" i="2"/>
  <c r="U37" i="2"/>
  <c r="T37" i="2"/>
  <c r="U35" i="2"/>
  <c r="U34" i="2"/>
  <c r="U30" i="2"/>
  <c r="U29" i="2"/>
  <c r="U27" i="2"/>
  <c r="U26" i="2"/>
  <c r="U25" i="2"/>
  <c r="U24" i="2"/>
  <c r="U22" i="2"/>
  <c r="U21" i="2"/>
  <c r="U18" i="2"/>
  <c r="U17" i="2"/>
  <c r="U15" i="2"/>
  <c r="U12" i="2"/>
  <c r="AB12" i="2"/>
  <c r="AA12" i="2"/>
  <c r="Z12" i="2"/>
  <c r="Y12" i="2"/>
  <c r="F12" i="2"/>
  <c r="T12" i="2"/>
  <c r="S12" i="2"/>
  <c r="R12" i="2"/>
  <c r="Q12" i="2"/>
  <c r="P12" i="2"/>
  <c r="O12" i="2"/>
  <c r="N12" i="2"/>
  <c r="M12" i="2"/>
  <c r="J12" i="2"/>
  <c r="U6" i="2"/>
  <c r="U13" i="2" s="1"/>
  <c r="AF4" i="2" l="1"/>
  <c r="AF7" i="2" s="1"/>
  <c r="AE7" i="2"/>
  <c r="AE29" i="2" s="1"/>
  <c r="AD12" i="2"/>
  <c r="AD13" i="2" s="1"/>
  <c r="AD25" i="2" s="1"/>
  <c r="AE8" i="2"/>
  <c r="AE5" i="2"/>
  <c r="AE6" i="2" s="1"/>
  <c r="AE9" i="2"/>
  <c r="AC13" i="2"/>
  <c r="AC25" i="2" s="1"/>
  <c r="V25" i="2"/>
  <c r="V15" i="2"/>
  <c r="F6" i="2"/>
  <c r="F24" i="2" s="1"/>
  <c r="J34" i="2"/>
  <c r="N34" i="2"/>
  <c r="F37" i="2"/>
  <c r="J37" i="2"/>
  <c r="J29" i="2"/>
  <c r="N29" i="2"/>
  <c r="J21" i="2"/>
  <c r="N21" i="2"/>
  <c r="J6" i="2"/>
  <c r="J24" i="2" s="1"/>
  <c r="Y66" i="2"/>
  <c r="Y77" i="2"/>
  <c r="Y81" i="2" s="1"/>
  <c r="F77" i="2"/>
  <c r="J77" i="2"/>
  <c r="F73" i="2"/>
  <c r="Y73" i="2" s="1"/>
  <c r="F72" i="2"/>
  <c r="F64" i="2"/>
  <c r="F67" i="2" s="1"/>
  <c r="F59" i="2"/>
  <c r="Z77" i="2"/>
  <c r="Z81" i="2" s="1"/>
  <c r="T73" i="2"/>
  <c r="S73" i="2"/>
  <c r="R73" i="2"/>
  <c r="Q73" i="2"/>
  <c r="N73" i="2"/>
  <c r="J73" i="2"/>
  <c r="Z73" i="2" s="1"/>
  <c r="J72" i="2"/>
  <c r="Z72" i="2" s="1"/>
  <c r="S59" i="2"/>
  <c r="R59" i="2"/>
  <c r="Q59" i="2"/>
  <c r="T59" i="2"/>
  <c r="Z66" i="2"/>
  <c r="J59" i="2"/>
  <c r="J64" i="2" s="1"/>
  <c r="J67" i="2" s="1"/>
  <c r="AB58" i="2"/>
  <c r="Y58" i="2"/>
  <c r="Z58" i="2"/>
  <c r="N59" i="2"/>
  <c r="AA58" i="2"/>
  <c r="Z57" i="2"/>
  <c r="Z47" i="2"/>
  <c r="Z49" i="2"/>
  <c r="F50" i="2"/>
  <c r="Y50" i="2" s="1"/>
  <c r="J50" i="2"/>
  <c r="Z50" i="2" s="1"/>
  <c r="Z33" i="2"/>
  <c r="Z34" i="2" s="1"/>
  <c r="Y33" i="2"/>
  <c r="Z63" i="2"/>
  <c r="Y63" i="2"/>
  <c r="Z62" i="2"/>
  <c r="Y62" i="2"/>
  <c r="Z61" i="2"/>
  <c r="Y61" i="2"/>
  <c r="Z60" i="2"/>
  <c r="Y60" i="2"/>
  <c r="Y57" i="2"/>
  <c r="Z56" i="2"/>
  <c r="Y56" i="2"/>
  <c r="Z55" i="2"/>
  <c r="Y55" i="2"/>
  <c r="Z54" i="2"/>
  <c r="Y54" i="2"/>
  <c r="Y59" i="2" s="1"/>
  <c r="Z51" i="2"/>
  <c r="Y51" i="2"/>
  <c r="Y49" i="2"/>
  <c r="Z48" i="2"/>
  <c r="Y48" i="2"/>
  <c r="Y47" i="2"/>
  <c r="Z43" i="2"/>
  <c r="Y43" i="2"/>
  <c r="Z45" i="2"/>
  <c r="Y45" i="2"/>
  <c r="Z44" i="2"/>
  <c r="Y44" i="2"/>
  <c r="Y42" i="2"/>
  <c r="Z42" i="2"/>
  <c r="J46" i="2"/>
  <c r="J52" i="2" s="1"/>
  <c r="J69" i="2" s="1"/>
  <c r="J70" i="2" s="1"/>
  <c r="J80" i="2" s="1"/>
  <c r="F46" i="2"/>
  <c r="F52" i="2" s="1"/>
  <c r="F69" i="2" s="1"/>
  <c r="F70" i="2" s="1"/>
  <c r="F80" i="2" s="1"/>
  <c r="AA21" i="2"/>
  <c r="Z21" i="2"/>
  <c r="Z37" i="2"/>
  <c r="Y37" i="2"/>
  <c r="AA29" i="2"/>
  <c r="Z29" i="2"/>
  <c r="Z6" i="2"/>
  <c r="Z24" i="2" s="1"/>
  <c r="Y6" i="2"/>
  <c r="Y24" i="2" s="1"/>
  <c r="N37" i="2"/>
  <c r="AF5" i="2" l="1"/>
  <c r="AF6" i="2" s="1"/>
  <c r="AF9" i="2"/>
  <c r="AG4" i="2"/>
  <c r="AH4" i="2" s="1"/>
  <c r="AF8" i="2"/>
  <c r="AF12" i="2" s="1"/>
  <c r="AD15" i="2"/>
  <c r="AD16" i="2" s="1"/>
  <c r="AD17" i="2" s="1"/>
  <c r="AE12" i="2"/>
  <c r="AE13" i="2" s="1"/>
  <c r="AE15" i="2" s="1"/>
  <c r="AC15" i="2"/>
  <c r="V16" i="2"/>
  <c r="AC16" i="2" s="1"/>
  <c r="AF29" i="2"/>
  <c r="Y46" i="2"/>
  <c r="Z59" i="2"/>
  <c r="Z74" i="2"/>
  <c r="Z46" i="2"/>
  <c r="Z52" i="2" s="1"/>
  <c r="F74" i="2"/>
  <c r="F78" i="2" s="1"/>
  <c r="J13" i="2"/>
  <c r="J25" i="2" s="1"/>
  <c r="Y13" i="2"/>
  <c r="Z13" i="2"/>
  <c r="Y72" i="2"/>
  <c r="Y74" i="2" s="1"/>
  <c r="Y78" i="2" s="1"/>
  <c r="J15" i="2"/>
  <c r="F13" i="2"/>
  <c r="Z78" i="2"/>
  <c r="J74" i="2"/>
  <c r="J78" i="2" s="1"/>
  <c r="Z64" i="2"/>
  <c r="Z67" i="2" s="1"/>
  <c r="Y64" i="2"/>
  <c r="Y67" i="2" s="1"/>
  <c r="Y52" i="2"/>
  <c r="Q72" i="2"/>
  <c r="Q74" i="2" s="1"/>
  <c r="Q64" i="2"/>
  <c r="Q67" i="2" s="1"/>
  <c r="Q50" i="2"/>
  <c r="Q46" i="2"/>
  <c r="Q52" i="2" s="1"/>
  <c r="M77" i="2"/>
  <c r="O77" i="2"/>
  <c r="Q77" i="2"/>
  <c r="Q34" i="2"/>
  <c r="Q35" i="2"/>
  <c r="P35" i="2"/>
  <c r="O35" i="2"/>
  <c r="N35" i="2"/>
  <c r="N30" i="2"/>
  <c r="Q21" i="2"/>
  <c r="N22" i="2"/>
  <c r="M6" i="2"/>
  <c r="M24" i="2" s="1"/>
  <c r="R30" i="2"/>
  <c r="Q30" i="2"/>
  <c r="Q29" i="2"/>
  <c r="R22" i="2"/>
  <c r="Q22" i="2"/>
  <c r="Q6" i="2"/>
  <c r="Q24" i="2" s="1"/>
  <c r="R35" i="2"/>
  <c r="Q37" i="2"/>
  <c r="AA76" i="2"/>
  <c r="AA77" i="2" s="1"/>
  <c r="AA81" i="2" s="1"/>
  <c r="AB76" i="2"/>
  <c r="AB77" i="2" s="1"/>
  <c r="AB81" i="2" s="1"/>
  <c r="AA73" i="2"/>
  <c r="AB73" i="2"/>
  <c r="AA63" i="2"/>
  <c r="AA66" i="2"/>
  <c r="AB66" i="2"/>
  <c r="AA60" i="2"/>
  <c r="AB63" i="2"/>
  <c r="AB62" i="2"/>
  <c r="AA62" i="2"/>
  <c r="AB61" i="2"/>
  <c r="AA61" i="2"/>
  <c r="AB60" i="2"/>
  <c r="AA57" i="2"/>
  <c r="AA56" i="2"/>
  <c r="AA55" i="2"/>
  <c r="AA54" i="2"/>
  <c r="N72" i="2"/>
  <c r="N74" i="2" s="1"/>
  <c r="N64" i="2"/>
  <c r="N67" i="2" s="1"/>
  <c r="AB57" i="2"/>
  <c r="AB56" i="2"/>
  <c r="AB55" i="2"/>
  <c r="AB54" i="2"/>
  <c r="AB51" i="2"/>
  <c r="AA51" i="2"/>
  <c r="AB49" i="2"/>
  <c r="AA49" i="2"/>
  <c r="AB48" i="2"/>
  <c r="AA48" i="2"/>
  <c r="AB47" i="2"/>
  <c r="AA47" i="2"/>
  <c r="AB45" i="2"/>
  <c r="AA45" i="2"/>
  <c r="AA44" i="2"/>
  <c r="AB44" i="2"/>
  <c r="AB43" i="2"/>
  <c r="AB42" i="2"/>
  <c r="AA43" i="2"/>
  <c r="AA42" i="2"/>
  <c r="N50" i="2"/>
  <c r="AA50" i="2" s="1"/>
  <c r="N46" i="2"/>
  <c r="AA37" i="2"/>
  <c r="AA33" i="2"/>
  <c r="AA34" i="2" s="1"/>
  <c r="AB36" i="2"/>
  <c r="AB37" i="2" s="1"/>
  <c r="AB33" i="2"/>
  <c r="AB29" i="2"/>
  <c r="AB21" i="2"/>
  <c r="AA6" i="2"/>
  <c r="AA24" i="2" s="1"/>
  <c r="AB6" i="2"/>
  <c r="AB24" i="2" s="1"/>
  <c r="N77" i="2"/>
  <c r="N81" i="2" s="1"/>
  <c r="AH7" i="2" l="1"/>
  <c r="AH8" i="2"/>
  <c r="AF13" i="2"/>
  <c r="AG7" i="2"/>
  <c r="AG8" i="2"/>
  <c r="AG9" i="2"/>
  <c r="AG12" i="2" s="1"/>
  <c r="AG13" i="2" s="1"/>
  <c r="AG5" i="2"/>
  <c r="AG6" i="2" s="1"/>
  <c r="AE25" i="2"/>
  <c r="AC27" i="2"/>
  <c r="AC17" i="2"/>
  <c r="AC18" i="2" s="1"/>
  <c r="V17" i="2"/>
  <c r="V18" i="2" s="1"/>
  <c r="AD18" i="2"/>
  <c r="AD26" i="2"/>
  <c r="AI4" i="2"/>
  <c r="AI8" i="2" s="1"/>
  <c r="AH5" i="2"/>
  <c r="AH6" i="2" s="1"/>
  <c r="AH9" i="2"/>
  <c r="AE16" i="2"/>
  <c r="AE17" i="2" s="1"/>
  <c r="AG29" i="2"/>
  <c r="AF25" i="2"/>
  <c r="AF15" i="2"/>
  <c r="Y69" i="2"/>
  <c r="Y70" i="2" s="1"/>
  <c r="Y80" i="2" s="1"/>
  <c r="N52" i="2"/>
  <c r="AA46" i="2"/>
  <c r="AB46" i="2"/>
  <c r="Z69" i="2"/>
  <c r="Z70" i="2" s="1"/>
  <c r="Z80" i="2" s="1"/>
  <c r="Q13" i="2"/>
  <c r="Q15" i="2" s="1"/>
  <c r="Q17" i="2" s="1"/>
  <c r="AB34" i="2"/>
  <c r="F25" i="2"/>
  <c r="F15" i="2"/>
  <c r="Z15" i="2"/>
  <c r="Z25" i="2"/>
  <c r="AB13" i="2"/>
  <c r="AA13" i="2"/>
  <c r="AA25" i="2" s="1"/>
  <c r="AB59" i="2"/>
  <c r="AB64" i="2" s="1"/>
  <c r="AB67" i="2" s="1"/>
  <c r="AA59" i="2"/>
  <c r="AA64" i="2" s="1"/>
  <c r="AA67" i="2" s="1"/>
  <c r="AA72" i="2"/>
  <c r="AA74" i="2" s="1"/>
  <c r="AA78" i="2" s="1"/>
  <c r="N78" i="2"/>
  <c r="M13" i="2"/>
  <c r="Q78" i="2"/>
  <c r="Q81" i="2"/>
  <c r="J27" i="2"/>
  <c r="J17" i="2"/>
  <c r="Y15" i="2"/>
  <c r="Y25" i="2"/>
  <c r="Q69" i="2"/>
  <c r="Q70" i="2" s="1"/>
  <c r="Q80" i="2" s="1"/>
  <c r="N69" i="2"/>
  <c r="N70" i="2" s="1"/>
  <c r="N80" i="2" s="1"/>
  <c r="AA52" i="2"/>
  <c r="R29" i="2"/>
  <c r="O30" i="2"/>
  <c r="R21" i="2"/>
  <c r="O22" i="2"/>
  <c r="N6" i="2"/>
  <c r="N24" i="2" s="1"/>
  <c r="S30" i="2"/>
  <c r="S22" i="2"/>
  <c r="R6" i="2"/>
  <c r="R24" i="2" s="1"/>
  <c r="R37" i="2"/>
  <c r="R34" i="2"/>
  <c r="S35" i="2"/>
  <c r="R77" i="2"/>
  <c r="R81" i="2" s="1"/>
  <c r="R72" i="2"/>
  <c r="AB72" i="2" s="1"/>
  <c r="AB74" i="2" s="1"/>
  <c r="AB78" i="2" s="1"/>
  <c r="R64" i="2"/>
  <c r="R67" i="2" s="1"/>
  <c r="R50" i="2"/>
  <c r="AB50" i="2" s="1"/>
  <c r="AB52" i="2" s="1"/>
  <c r="R46" i="2"/>
  <c r="S77" i="2"/>
  <c r="S81" i="2" s="1"/>
  <c r="S72" i="2"/>
  <c r="S74" i="2" s="1"/>
  <c r="S64" i="2"/>
  <c r="S67" i="2" s="1"/>
  <c r="S50" i="2"/>
  <c r="S46" i="2"/>
  <c r="AI7" i="2" l="1"/>
  <c r="V26" i="2"/>
  <c r="AC26" i="2"/>
  <c r="AE18" i="2"/>
  <c r="AE26" i="2"/>
  <c r="AH29" i="2"/>
  <c r="AH12" i="2"/>
  <c r="AH13" i="2" s="1"/>
  <c r="AG25" i="2"/>
  <c r="AG15" i="2"/>
  <c r="AF16" i="2"/>
  <c r="AF17" i="2" s="1"/>
  <c r="AJ4" i="2"/>
  <c r="AJ8" i="2" s="1"/>
  <c r="AI9" i="2"/>
  <c r="AI5" i="2"/>
  <c r="AI6" i="2" s="1"/>
  <c r="Q25" i="2"/>
  <c r="Q27" i="2"/>
  <c r="R52" i="2"/>
  <c r="R69" i="2" s="1"/>
  <c r="R70" i="2" s="1"/>
  <c r="R80" i="2" s="1"/>
  <c r="AB69" i="2"/>
  <c r="AB70" i="2" s="1"/>
  <c r="AB80" i="2" s="1"/>
  <c r="J18" i="2"/>
  <c r="J26" i="2"/>
  <c r="M15" i="2"/>
  <c r="M25" i="2"/>
  <c r="F17" i="2"/>
  <c r="F27" i="2"/>
  <c r="Q26" i="2"/>
  <c r="Q18" i="2"/>
  <c r="S52" i="2"/>
  <c r="S69" i="2" s="1"/>
  <c r="S70" i="2" s="1"/>
  <c r="S80" i="2" s="1"/>
  <c r="AA15" i="2"/>
  <c r="AA17" i="2" s="1"/>
  <c r="Y17" i="2"/>
  <c r="Y27" i="2"/>
  <c r="AB15" i="2"/>
  <c r="AB25" i="2"/>
  <c r="Z27" i="2"/>
  <c r="Z17" i="2"/>
  <c r="AA69" i="2"/>
  <c r="AA70" i="2" s="1"/>
  <c r="AA80" i="2" s="1"/>
  <c r="AA27" i="2"/>
  <c r="N13" i="2"/>
  <c r="S78" i="2"/>
  <c r="R13" i="2"/>
  <c r="R74" i="2"/>
  <c r="R78" i="2" s="1"/>
  <c r="S37" i="2"/>
  <c r="T35" i="2"/>
  <c r="S34" i="2"/>
  <c r="S29" i="2"/>
  <c r="P30" i="2"/>
  <c r="P22" i="2"/>
  <c r="T22" i="2"/>
  <c r="S21" i="2"/>
  <c r="O6" i="2"/>
  <c r="T30" i="2"/>
  <c r="S6" i="2"/>
  <c r="T34" i="2"/>
  <c r="AJ7" i="2" l="1"/>
  <c r="AF18" i="2"/>
  <c r="AF26" i="2"/>
  <c r="AJ5" i="2"/>
  <c r="AJ6" i="2" s="1"/>
  <c r="AJ9" i="2"/>
  <c r="AK4" i="2"/>
  <c r="AK8" i="2" s="1"/>
  <c r="AH25" i="2"/>
  <c r="AH15" i="2"/>
  <c r="AG16" i="2"/>
  <c r="AG17" i="2" s="1"/>
  <c r="AI29" i="2"/>
  <c r="AI12" i="2"/>
  <c r="AI13" i="2" s="1"/>
  <c r="S13" i="2"/>
  <c r="AB17" i="2"/>
  <c r="AB27" i="2"/>
  <c r="Y18" i="2"/>
  <c r="Y82" i="2" s="1"/>
  <c r="Y26" i="2"/>
  <c r="F26" i="2"/>
  <c r="F18" i="2"/>
  <c r="M17" i="2"/>
  <c r="M27" i="2"/>
  <c r="Z26" i="2"/>
  <c r="Z18" i="2"/>
  <c r="Z82" i="2" s="1"/>
  <c r="AA26" i="2"/>
  <c r="AA18" i="2"/>
  <c r="AA82" i="2" s="1"/>
  <c r="S24" i="2"/>
  <c r="O13" i="2"/>
  <c r="O15" i="2" s="1"/>
  <c r="S25" i="2"/>
  <c r="S15" i="2"/>
  <c r="S17" i="2" s="1"/>
  <c r="S18" i="2" s="1"/>
  <c r="O24" i="2"/>
  <c r="R25" i="2"/>
  <c r="R15" i="2"/>
  <c r="N15" i="2"/>
  <c r="N25" i="2"/>
  <c r="P77" i="2"/>
  <c r="T77" i="2"/>
  <c r="T72" i="2"/>
  <c r="T64" i="2"/>
  <c r="T67" i="2" s="1"/>
  <c r="T50" i="2"/>
  <c r="T46" i="2"/>
  <c r="D11" i="1"/>
  <c r="D10" i="1"/>
  <c r="D9" i="1"/>
  <c r="D7" i="1"/>
  <c r="T29" i="2"/>
  <c r="T21" i="2"/>
  <c r="P6" i="2"/>
  <c r="P24" i="2" s="1"/>
  <c r="T6" i="2"/>
  <c r="AK7" i="2" l="1"/>
  <c r="AI25" i="2"/>
  <c r="AI15" i="2"/>
  <c r="AH16" i="2"/>
  <c r="AH17" i="2" s="1"/>
  <c r="AJ29" i="2"/>
  <c r="AJ12" i="2"/>
  <c r="AJ13" i="2" s="1"/>
  <c r="AL4" i="2"/>
  <c r="AL8" i="2" s="1"/>
  <c r="AK5" i="2"/>
  <c r="AK6" i="2" s="1"/>
  <c r="AK9" i="2"/>
  <c r="AG18" i="2"/>
  <c r="AG26" i="2"/>
  <c r="M26" i="2"/>
  <c r="M18" i="2"/>
  <c r="AB18" i="2"/>
  <c r="AB82" i="2" s="1"/>
  <c r="AB26" i="2"/>
  <c r="T52" i="2"/>
  <c r="T69" i="2" s="1"/>
  <c r="T70" i="2" s="1"/>
  <c r="T80" i="2" s="1"/>
  <c r="O27" i="2"/>
  <c r="O17" i="2"/>
  <c r="O18" i="2" s="1"/>
  <c r="T13" i="2"/>
  <c r="O25" i="2"/>
  <c r="T24" i="2"/>
  <c r="S26" i="2"/>
  <c r="T74" i="2"/>
  <c r="T78" i="2" s="1"/>
  <c r="P13" i="2"/>
  <c r="R27" i="2"/>
  <c r="R17" i="2"/>
  <c r="S27" i="2"/>
  <c r="N17" i="2"/>
  <c r="N27" i="2"/>
  <c r="O26" i="2"/>
  <c r="C8" i="1"/>
  <c r="C34" i="1" s="1"/>
  <c r="C11" i="1"/>
  <c r="AL7" i="2" l="1"/>
  <c r="AH18" i="2"/>
  <c r="AH26" i="2"/>
  <c r="AM4" i="2"/>
  <c r="AM8" i="2" s="1"/>
  <c r="AL9" i="2"/>
  <c r="AL5" i="2"/>
  <c r="AL6" i="2" s="1"/>
  <c r="AK29" i="2"/>
  <c r="AK12" i="2"/>
  <c r="AK13" i="2" s="1"/>
  <c r="AI16" i="2"/>
  <c r="AI17" i="2" s="1"/>
  <c r="AJ25" i="2"/>
  <c r="AJ15" i="2"/>
  <c r="T15" i="2"/>
  <c r="T25" i="2"/>
  <c r="P15" i="2"/>
  <c r="P25" i="2"/>
  <c r="N26" i="2"/>
  <c r="N18" i="2"/>
  <c r="R18" i="2"/>
  <c r="R26" i="2"/>
  <c r="C12" i="1"/>
  <c r="AM7" i="2" l="1"/>
  <c r="AK25" i="2"/>
  <c r="AK15" i="2"/>
  <c r="AL29" i="2"/>
  <c r="AL12" i="2"/>
  <c r="AL13" i="2" s="1"/>
  <c r="AM9" i="2"/>
  <c r="AM5" i="2"/>
  <c r="AM6" i="2" s="1"/>
  <c r="AI18" i="2"/>
  <c r="AI26" i="2"/>
  <c r="AJ16" i="2"/>
  <c r="AJ17" i="2" s="1"/>
  <c r="N82" i="2"/>
  <c r="T27" i="2"/>
  <c r="T17" i="2"/>
  <c r="P17" i="2"/>
  <c r="P27" i="2"/>
  <c r="AL25" i="2" l="1"/>
  <c r="AL15" i="2"/>
  <c r="AJ18" i="2"/>
  <c r="AJ26" i="2"/>
  <c r="AM29" i="2"/>
  <c r="AM12" i="2"/>
  <c r="AM13" i="2" s="1"/>
  <c r="AK16" i="2"/>
  <c r="AK17" i="2" s="1"/>
  <c r="T26" i="2"/>
  <c r="T18" i="2"/>
  <c r="P18" i="2"/>
  <c r="P26" i="2"/>
  <c r="AK18" i="2" l="1"/>
  <c r="AK26" i="2"/>
  <c r="AM25" i="2"/>
  <c r="AM15" i="2"/>
  <c r="AL16" i="2"/>
  <c r="AL17" i="2" s="1"/>
  <c r="Q82" i="2"/>
  <c r="R82" i="2"/>
  <c r="S82" i="2"/>
  <c r="T82" i="2"/>
  <c r="AL18" i="2" l="1"/>
  <c r="AL26" i="2"/>
  <c r="AM16" i="2"/>
  <c r="AM17" i="2" s="1"/>
  <c r="AN17" i="2" s="1"/>
  <c r="AO17" i="2" l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AM18" i="2"/>
  <c r="AM26" i="2"/>
  <c r="AP26" i="2" l="1"/>
  <c r="AP28" i="2" s="1"/>
  <c r="AP29" i="2" s="1"/>
  <c r="AP31" i="2" s="1"/>
  <c r="AQ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F49" authorId="0" shapeId="0" xr:uid="{55D6C87D-C1A4-4EF5-9464-1503FD9AE29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  <comment ref="J49" authorId="0" shapeId="0" xr:uid="{BCD95C05-2508-4246-A1FE-77A2158ED6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</commentList>
</comments>
</file>

<file path=xl/sharedStrings.xml><?xml version="1.0" encoding="utf-8"?>
<sst xmlns="http://schemas.openxmlformats.org/spreadsheetml/2006/main" count="1773" uniqueCount="1732">
  <si>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</si>
  <si>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</si>
  <si>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</si>
  <si>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</si>
  <si>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</si>
  <si>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</si>
  <si>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</si>
  <si>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</si>
  <si>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</si>
  <si>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</si>
  <si>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</si>
  <si>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</si>
  <si>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</si>
  <si>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</si>
  <si>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</si>
  <si>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</si>
  <si>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</si>
  <si>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</si>
  <si>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</si>
  <si>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</si>
  <si>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</si>
  <si>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</si>
  <si>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</si>
  <si>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</si>
  <si>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</si>
  <si>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</si>
  <si>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</si>
  <si>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</si>
  <si>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</si>
  <si>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</si>
  <si>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</si>
  <si>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</si>
  <si>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</si>
  <si>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</si>
  <si>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</si>
  <si>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</si>
  <si>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</si>
  <si>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</si>
  <si>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</si>
  <si>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</si>
  <si>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</si>
  <si>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</si>
  <si>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</si>
  <si>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</si>
  <si>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</si>
  <si>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</si>
  <si>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</si>
  <si>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</si>
  <si>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</si>
  <si>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</si>
  <si>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</si>
  <si>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</si>
  <si>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</si>
  <si>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</si>
  <si>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</si>
  <si>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</si>
  <si>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</si>
  <si>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</si>
  <si>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</si>
  <si>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</si>
  <si>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</si>
  <si>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</si>
  <si>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</si>
  <si>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</si>
  <si>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</si>
  <si>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</si>
  <si>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</si>
  <si>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</si>
  <si>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</si>
  <si>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</si>
  <si>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</si>
  <si>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</si>
  <si>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</si>
  <si>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</si>
  <si>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</si>
  <si>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</si>
  <si>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</si>
  <si>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</si>
  <si>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</si>
  <si>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</si>
  <si>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</si>
  <si>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</si>
  <si>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</si>
  <si>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</si>
  <si>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</si>
  <si>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</si>
  <si>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</si>
  <si>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</si>
  <si>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</si>
  <si>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</si>
  <si>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</si>
  <si>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</si>
  <si>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</si>
  <si>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</si>
  <si>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</si>
  <si>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</si>
  <si>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</si>
  <si>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</si>
  <si>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</si>
  <si>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</si>
  <si>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</si>
  <si>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</si>
  <si>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</si>
  <si>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</si>
  <si>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</si>
  <si>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</si>
  <si>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</si>
  <si>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</si>
  <si>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</si>
  <si>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</si>
  <si>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</si>
  <si>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</si>
  <si>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</si>
  <si>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</si>
  <si>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</si>
  <si>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</si>
  <si>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</si>
  <si>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</si>
  <si>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</si>
  <si>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</si>
  <si>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</si>
  <si>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</si>
  <si>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</si>
  <si>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</si>
  <si>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</si>
  <si>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</si>
  <si>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</si>
  <si>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</si>
  <si>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</si>
  <si>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</si>
  <si>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</si>
  <si>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</si>
  <si>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</si>
  <si>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</si>
  <si>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</si>
  <si>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</si>
  <si>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</si>
  <si>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</si>
  <si>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</si>
  <si>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</si>
  <si>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</si>
  <si>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</si>
  <si>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</si>
  <si>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</si>
  <si>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</si>
  <si>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</si>
  <si>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</si>
  <si>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</si>
  <si>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</si>
  <si>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</si>
  <si>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</si>
  <si>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</si>
  <si>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</si>
  <si>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</si>
  <si>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</si>
  <si>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</si>
  <si>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</si>
  <si>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</si>
  <si>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</si>
  <si>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</si>
  <si>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</si>
  <si>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</si>
  <si>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</si>
  <si>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</si>
  <si>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</si>
  <si>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</si>
  <si>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</si>
  <si>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</si>
  <si>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</si>
  <si>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</si>
  <si>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</si>
  <si>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</si>
  <si>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</si>
  <si>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</si>
  <si>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</si>
  <si>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</si>
  <si>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</si>
  <si>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</si>
  <si>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</si>
  <si>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</si>
  <si>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</si>
  <si>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</si>
  <si>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</si>
  <si>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</si>
  <si>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</si>
  <si>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</si>
  <si>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</si>
  <si>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</si>
  <si>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</si>
  <si>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</si>
  <si>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</si>
  <si>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</si>
  <si>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</si>
  <si>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</si>
  <si>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</si>
  <si>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</si>
  <si>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</si>
  <si>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</si>
  <si>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</si>
  <si>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</si>
  <si>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</si>
  <si>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</si>
  <si>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</si>
  <si>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</si>
  <si>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</si>
  <si>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</si>
  <si>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</si>
  <si>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</si>
  <si>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</si>
  <si>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</si>
  <si>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</si>
  <si>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</si>
  <si>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</si>
  <si>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</si>
  <si>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</si>
  <si>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</si>
  <si>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</si>
  <si>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</si>
  <si>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</si>
  <si>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</si>
  <si>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</si>
  <si>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</si>
  <si>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</si>
  <si>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</si>
  <si>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</si>
  <si>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</si>
  <si>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</si>
  <si>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</si>
  <si>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</si>
  <si>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</si>
  <si>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</si>
  <si>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</si>
  <si>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</si>
  <si>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</si>
  <si>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</si>
  <si>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</si>
  <si>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</si>
  <si>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</si>
  <si>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</si>
  <si>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</si>
  <si>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</si>
  <si>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</si>
  <si>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</si>
  <si>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</si>
  <si>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</si>
  <si>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</si>
  <si>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</si>
  <si>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</si>
  <si>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</si>
  <si>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</si>
  <si>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</si>
  <si>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</si>
  <si>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</si>
  <si>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</si>
  <si>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</si>
  <si>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</si>
  <si>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</si>
  <si>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</si>
  <si>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</si>
  <si>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</si>
  <si>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</si>
  <si>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</si>
  <si>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</si>
  <si>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</si>
  <si>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</si>
  <si>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</si>
  <si>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</si>
  <si>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</si>
  <si>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</si>
  <si>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</si>
  <si>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</si>
  <si>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</si>
  <si>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</si>
  <si>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</si>
  <si>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</si>
  <si>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</si>
  <si>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</si>
  <si>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</si>
  <si>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</si>
  <si>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</si>
  <si>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</si>
  <si>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</si>
  <si>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</si>
  <si>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</si>
  <si>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</si>
  <si>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</si>
  <si>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</si>
  <si>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</si>
  <si>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</si>
  <si>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</si>
  <si>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</si>
  <si>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</si>
  <si>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</si>
  <si>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</si>
  <si>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</si>
  <si>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</si>
  <si>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</si>
  <si>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</si>
  <si>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</si>
  <si>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</si>
  <si>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</si>
  <si>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</si>
  <si>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</si>
  <si>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</si>
  <si>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</si>
  <si>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</si>
  <si>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</si>
  <si>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</si>
  <si>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</si>
  <si>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</si>
  <si>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</si>
  <si>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</si>
  <si>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</si>
  <si>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</si>
  <si>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</si>
  <si>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</si>
  <si>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</si>
  <si>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</si>
  <si>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</si>
  <si>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</si>
  <si>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</si>
  <si>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</si>
  <si>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</si>
  <si>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</si>
  <si>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</si>
  <si>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</si>
  <si>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</si>
  <si>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</si>
  <si>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</si>
  <si>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</si>
  <si>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</si>
  <si>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</si>
  <si>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</si>
  <si>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</si>
  <si>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</si>
  <si>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</si>
  <si>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</si>
  <si>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</si>
  <si>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</si>
  <si>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</si>
  <si>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</si>
  <si>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</si>
  <si>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</si>
  <si>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</si>
  <si>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</si>
  <si>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</si>
  <si>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</si>
  <si>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</si>
  <si>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</si>
  <si>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</si>
  <si>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</si>
  <si>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</si>
  <si>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</si>
  <si>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</si>
  <si>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</si>
  <si>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</si>
  <si>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</si>
  <si>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</si>
  <si>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</si>
  <si>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</si>
  <si>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</si>
  <si>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</si>
  <si>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</si>
  <si>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</si>
  <si>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</si>
  <si>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</si>
  <si>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</si>
  <si>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</si>
  <si>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</si>
  <si>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</si>
  <si>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</si>
  <si>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</si>
  <si>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</si>
  <si>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</si>
  <si>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</si>
  <si>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</si>
  <si>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</si>
  <si>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</si>
  <si>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</si>
  <si>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</si>
  <si>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</si>
  <si>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</si>
  <si>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</si>
  <si>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</si>
  <si>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</si>
  <si>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</si>
  <si>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</si>
  <si>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</si>
  <si>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</si>
  <si>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</si>
  <si>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</si>
  <si>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</si>
  <si>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</si>
  <si>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</si>
  <si>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</si>
  <si>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</si>
  <si>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</si>
  <si>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</si>
  <si>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</si>
  <si>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</si>
  <si>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</si>
  <si>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</si>
  <si>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</si>
  <si>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</si>
  <si>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</si>
  <si>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</si>
  <si>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</si>
  <si>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</si>
  <si>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</si>
  <si>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</si>
  <si>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</si>
  <si>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</si>
  <si>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</si>
  <si>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</si>
  <si>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</si>
  <si>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</si>
  <si>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</si>
  <si>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</si>
  <si>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</si>
  <si>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</si>
  <si>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</si>
  <si>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</si>
  <si>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</si>
  <si>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</si>
  <si>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</si>
  <si>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</si>
  <si>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</si>
  <si>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</si>
  <si>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</si>
  <si>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</si>
  <si>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</si>
  <si>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</si>
  <si>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</si>
  <si>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</si>
  <si>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</si>
  <si>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</si>
  <si>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</si>
  <si>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</si>
  <si>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</si>
  <si>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</si>
  <si>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</si>
  <si>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</si>
  <si>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</si>
  <si>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</si>
  <si>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</si>
  <si>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</si>
  <si>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</si>
  <si>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</si>
  <si>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</si>
  <si>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</si>
  <si>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</si>
  <si>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</si>
  <si>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</si>
  <si>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</si>
  <si>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</si>
  <si>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</si>
  <si>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</si>
  <si>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</si>
  <si>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</si>
  <si>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</si>
  <si>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</si>
  <si>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</si>
  <si>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</si>
  <si>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</si>
  <si>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</si>
  <si>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</si>
  <si>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</si>
  <si>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</si>
  <si>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</si>
  <si>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</si>
  <si>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</si>
  <si>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</si>
  <si>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</si>
  <si>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</si>
  <si>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</si>
  <si>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</si>
  <si>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</si>
  <si>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</si>
  <si>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</si>
  <si>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</si>
  <si>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</si>
  <si>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</si>
  <si>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</si>
  <si>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</si>
  <si>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</si>
  <si>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</si>
  <si>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</si>
  <si>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</si>
  <si>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</si>
  <si>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</si>
  <si>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</si>
  <si>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</si>
  <si>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</si>
  <si>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</si>
  <si>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</si>
  <si>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</si>
  <si>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</si>
  <si>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</si>
  <si>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</si>
  <si>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</si>
  <si>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</si>
  <si>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</si>
  <si>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</si>
  <si>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</si>
  <si>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</si>
  <si>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</si>
  <si>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</si>
  <si>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</si>
  <si>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</si>
  <si>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</si>
  <si>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</si>
  <si>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</si>
  <si>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</si>
  <si>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</si>
  <si>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</si>
  <si>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</si>
  <si>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</si>
  <si>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</si>
  <si>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</si>
  <si>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</si>
  <si>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</si>
  <si>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</si>
  <si>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</si>
  <si>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</si>
  <si>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</si>
  <si>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</si>
  <si>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</si>
  <si>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</si>
  <si>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</si>
  <si>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</si>
  <si>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</si>
  <si>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</si>
  <si>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</si>
  <si>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</si>
  <si>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</si>
  <si>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</si>
  <si>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</si>
  <si>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</si>
  <si>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</si>
  <si>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</si>
  <si>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</si>
  <si>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</si>
  <si>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</si>
  <si>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</si>
  <si>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</si>
  <si>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</si>
  <si>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</si>
  <si>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</si>
  <si>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</si>
  <si>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</si>
  <si>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</si>
  <si>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</si>
  <si>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</si>
  <si>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</si>
  <si>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</si>
  <si>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</si>
  <si>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</si>
  <si>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</si>
  <si>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</si>
  <si>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</si>
  <si>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</si>
  <si>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</si>
  <si>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</si>
  <si>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</si>
  <si>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</si>
  <si>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</si>
  <si>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</si>
  <si>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</si>
  <si>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</si>
  <si>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</si>
  <si>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</si>
  <si>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</si>
  <si>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</si>
  <si>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</si>
  <si>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</si>
  <si>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</si>
  <si>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</si>
  <si>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</si>
  <si>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</si>
  <si>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</si>
  <si>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</si>
  <si>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</si>
  <si>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</si>
  <si>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</si>
  <si>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</si>
  <si>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</si>
  <si>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</si>
  <si>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</si>
  <si>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</si>
  <si>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</si>
  <si>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</si>
  <si>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</si>
  <si>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</si>
  <si>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</si>
  <si>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</si>
  <si>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</si>
  <si>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</si>
  <si>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</si>
  <si>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</si>
  <si>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</si>
  <si>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</si>
  <si>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</si>
  <si>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</si>
  <si>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</si>
  <si>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</si>
  <si>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</si>
  <si>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</si>
  <si>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</si>
  <si>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</si>
  <si>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</si>
  <si>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</si>
  <si>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</si>
  <si>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</si>
  <si>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</si>
  <si>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</si>
  <si>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</si>
  <si>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</si>
  <si>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</si>
  <si>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</si>
  <si>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</si>
  <si>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</si>
  <si>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</si>
  <si>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</si>
  <si>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</si>
  <si>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</si>
  <si>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</si>
  <si>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</si>
  <si>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</si>
  <si>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</si>
  <si>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</si>
  <si>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</si>
  <si>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</si>
  <si>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</si>
  <si>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</si>
  <si>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</si>
  <si>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</si>
  <si>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</si>
  <si>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</si>
  <si>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</si>
  <si>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</si>
  <si>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</si>
  <si>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</si>
  <si>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</si>
  <si>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</si>
  <si>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</si>
  <si>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</si>
  <si>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</si>
  <si>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</si>
  <si>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</si>
  <si>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</si>
  <si>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</si>
  <si>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</si>
  <si>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</si>
  <si>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</si>
  <si>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</si>
  <si>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</si>
  <si>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</si>
  <si>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</si>
  <si>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</si>
  <si>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</si>
  <si>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</si>
  <si>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</si>
  <si>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</si>
  <si>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</si>
  <si>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</si>
  <si>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</si>
  <si>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</si>
  <si>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</si>
  <si>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</si>
  <si>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</si>
  <si>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</si>
  <si>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</si>
  <si>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</si>
  <si>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</si>
  <si>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</si>
  <si>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</si>
  <si>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</si>
  <si>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</si>
  <si>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</si>
  <si>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</si>
  <si>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</si>
  <si>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</si>
  <si>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</si>
  <si>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</si>
  <si>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</si>
  <si>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</si>
  <si>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</si>
  <si>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</si>
  <si>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</si>
  <si>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</si>
  <si>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</si>
  <si>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</si>
  <si>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</si>
  <si>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</si>
  <si>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</si>
  <si>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</si>
  <si>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</si>
  <si>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</si>
  <si>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</si>
  <si>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</si>
  <si>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</si>
  <si>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</si>
  <si>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</si>
  <si>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</si>
  <si>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</si>
  <si>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</si>
  <si>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</si>
  <si>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</si>
  <si>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</si>
  <si>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</si>
  <si>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</si>
  <si>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</si>
  <si>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</si>
  <si>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</si>
  <si>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</si>
  <si>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</si>
  <si>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</si>
  <si>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</si>
  <si>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</si>
  <si>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</si>
  <si>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</si>
  <si>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</si>
  <si>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</si>
  <si>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</si>
  <si>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</si>
  <si>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</si>
  <si>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</si>
  <si>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</si>
  <si>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</si>
  <si>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</si>
  <si>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</si>
  <si>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</si>
  <si>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</si>
  <si>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</si>
  <si>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</si>
  <si>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</si>
  <si>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</si>
  <si>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</si>
  <si>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</si>
  <si>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</si>
  <si>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</si>
  <si>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</si>
  <si>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</si>
  <si>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</si>
  <si>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</si>
  <si>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</si>
  <si>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</si>
  <si>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</si>
  <si>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</si>
  <si>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</si>
  <si>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</si>
  <si>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</si>
  <si>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</si>
  <si>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</si>
  <si>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</si>
  <si>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</si>
  <si>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</si>
  <si>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</si>
  <si>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</si>
  <si>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</si>
  <si>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</si>
  <si>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</si>
  <si>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</si>
  <si>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</si>
  <si>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</si>
  <si>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</si>
  <si>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</si>
  <si>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</si>
  <si>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</si>
  <si>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</si>
  <si>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</si>
  <si>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</si>
  <si>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</si>
  <si>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</si>
  <si>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</si>
  <si>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</si>
  <si>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</si>
  <si>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</si>
  <si>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</si>
  <si>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</si>
  <si>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</si>
  <si>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</si>
  <si>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</si>
  <si>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</si>
  <si>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</si>
  <si>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</si>
  <si>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</si>
  <si>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</si>
  <si>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</si>
  <si>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</si>
  <si>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</si>
  <si>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</si>
  <si>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</si>
  <si>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</si>
  <si>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</si>
  <si>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</si>
  <si>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</si>
  <si>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</si>
  <si>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</si>
  <si>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</si>
  <si>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</si>
  <si>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</si>
  <si>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</si>
  <si>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</si>
  <si>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</si>
  <si>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</si>
  <si>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</si>
  <si>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</si>
  <si>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</si>
  <si>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</si>
  <si>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</si>
  <si>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</si>
  <si>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</si>
  <si>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</si>
  <si>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</si>
  <si>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</si>
  <si>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</si>
  <si>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</si>
  <si>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</si>
  <si>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</si>
  <si>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</si>
  <si>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</si>
  <si>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</si>
  <si>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</si>
  <si>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</si>
  <si>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</si>
  <si>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</si>
  <si>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</si>
  <si>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</si>
  <si>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</si>
  <si>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</si>
  <si>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</si>
  <si>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</si>
  <si>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</si>
  <si>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</si>
  <si>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</si>
  <si>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</si>
  <si>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</si>
  <si>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</si>
  <si>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</si>
  <si>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</si>
  <si>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</si>
  <si>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</si>
  <si>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</si>
  <si>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</si>
  <si>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</si>
  <si>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</si>
  <si>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</si>
  <si>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</si>
  <si>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</si>
  <si>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</si>
  <si>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</si>
  <si>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</si>
  <si>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</si>
  <si>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</si>
  <si>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</si>
  <si>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</si>
  <si>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</si>
  <si>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</si>
  <si>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</si>
  <si>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</si>
  <si>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</si>
  <si>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</si>
  <si>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</si>
  <si>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</si>
  <si>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</si>
  <si>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</si>
  <si>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</si>
  <si>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</si>
  <si>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</si>
  <si>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</si>
  <si>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</si>
  <si>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</si>
  <si>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</si>
  <si>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</si>
  <si>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</si>
  <si>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</si>
  <si>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</si>
  <si>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</si>
  <si>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</si>
  <si>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</si>
  <si>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</si>
  <si>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</si>
  <si>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</si>
  <si>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</si>
  <si>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</si>
  <si>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</si>
  <si>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</si>
  <si>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</si>
  <si>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</si>
  <si>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</si>
  <si>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</si>
  <si>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</si>
  <si>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</si>
  <si>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</si>
  <si>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</si>
  <si>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</si>
  <si>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</si>
  <si>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</si>
  <si>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</si>
  <si>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</si>
  <si>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</si>
  <si>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</si>
  <si>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</si>
  <si>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</si>
  <si>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</si>
  <si>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</si>
  <si>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</si>
  <si>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</si>
  <si>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</si>
  <si>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</si>
  <si>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</si>
  <si>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</si>
  <si>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</si>
  <si>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</si>
  <si>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</si>
  <si>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</si>
  <si>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</si>
  <si>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</si>
  <si>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</si>
  <si>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</si>
  <si>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</si>
  <si>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</si>
  <si>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</si>
  <si>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</si>
  <si>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</si>
  <si>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</si>
  <si>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</si>
  <si>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</si>
  <si>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</si>
  <si>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</si>
  <si>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</si>
  <si>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</si>
  <si>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</si>
  <si>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</si>
  <si>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</si>
  <si>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</si>
  <si>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</si>
  <si>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</si>
  <si>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</si>
  <si>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</si>
  <si>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</si>
  <si>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</si>
  <si>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</si>
  <si>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</si>
  <si>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</si>
  <si>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</si>
  <si>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</si>
  <si>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</si>
  <si>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</si>
  <si>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</si>
  <si>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</si>
  <si>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</si>
  <si>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</si>
  <si>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</si>
  <si>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</si>
  <si>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</si>
  <si>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</si>
  <si>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</si>
  <si>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</si>
  <si>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</si>
  <si>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</si>
  <si>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</si>
  <si>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</si>
  <si>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</si>
  <si>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</si>
  <si>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</si>
  <si>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</si>
  <si>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</si>
  <si>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</si>
  <si>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</si>
  <si>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</si>
  <si>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</si>
  <si>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</si>
  <si>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</si>
  <si>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</si>
  <si>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</si>
  <si>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</si>
  <si>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</si>
  <si>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</si>
  <si>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</si>
  <si>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</si>
  <si>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</si>
  <si>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</si>
  <si>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</si>
  <si>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</si>
  <si>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</si>
  <si>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</si>
  <si>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</si>
  <si>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</si>
  <si>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</si>
  <si>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</si>
  <si>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</si>
  <si>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</si>
  <si>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</si>
  <si>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</si>
  <si>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</si>
  <si>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</si>
  <si>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</si>
  <si>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</si>
  <si>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</si>
  <si>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</si>
  <si>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</si>
  <si>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</si>
  <si>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</si>
  <si>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</si>
  <si>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</si>
  <si>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</si>
  <si>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</si>
  <si>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</si>
  <si>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</si>
  <si>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</si>
  <si>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</si>
  <si>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</si>
  <si>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</si>
  <si>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</si>
  <si>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</si>
  <si>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</si>
  <si>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</si>
  <si>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</si>
  <si>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</si>
  <si>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</si>
  <si>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</si>
  <si>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</si>
  <si>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</si>
  <si>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</si>
  <si>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</si>
  <si>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</si>
  <si>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</si>
  <si>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</si>
  <si>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</si>
  <si>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</si>
  <si>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</si>
  <si>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</si>
  <si>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</si>
  <si>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</si>
  <si>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</si>
  <si>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</si>
  <si>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</si>
  <si>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</si>
  <si>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</si>
  <si>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</si>
  <si>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</si>
  <si>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</si>
  <si>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</si>
  <si>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</si>
  <si>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</si>
  <si>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</si>
  <si>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</si>
  <si>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</si>
  <si>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</si>
  <si>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</si>
  <si>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</si>
  <si>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</si>
  <si>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</si>
  <si>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</si>
  <si>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</si>
  <si>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</si>
  <si>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</si>
  <si>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</si>
  <si>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</si>
  <si>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</si>
  <si>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</si>
  <si>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</si>
  <si>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</si>
  <si>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</si>
  <si>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</si>
  <si>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</si>
  <si>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</si>
  <si>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</si>
  <si>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</si>
  <si>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</si>
  <si>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</si>
  <si>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</si>
  <si>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</si>
  <si>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</si>
  <si>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</si>
  <si>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</si>
  <si>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</si>
  <si>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</si>
  <si>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</si>
  <si>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</si>
  <si>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</si>
  <si>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</si>
  <si>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</si>
  <si>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</si>
  <si>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</si>
  <si>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</si>
  <si>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</si>
  <si>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</si>
  <si>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</si>
  <si>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</si>
  <si>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</si>
  <si>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</si>
  <si>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</si>
  <si>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</si>
  <si>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</si>
  <si>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</si>
  <si>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</si>
  <si>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</si>
  <si>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</si>
  <si>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</si>
  <si>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</si>
  <si>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</si>
  <si>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</si>
  <si>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</si>
  <si>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</si>
  <si>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</si>
  <si>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</si>
  <si>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</si>
  <si>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</si>
  <si>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</si>
  <si>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</si>
  <si>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</si>
  <si>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</si>
  <si>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</si>
  <si>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</si>
  <si>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</si>
  <si>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</si>
  <si>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</si>
  <si>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</si>
  <si>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</si>
  <si>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</si>
  <si>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</si>
  <si>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</si>
  <si>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</si>
  <si>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</si>
  <si>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</si>
  <si>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</si>
  <si>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</si>
  <si>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</si>
  <si>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</si>
  <si>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</si>
  <si>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</si>
  <si>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</si>
  <si>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</si>
  <si>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</si>
  <si>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</si>
  <si>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</si>
  <si>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</si>
  <si>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</si>
  <si>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</si>
  <si>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</si>
  <si>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</si>
  <si>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</si>
  <si>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</si>
  <si>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</si>
  <si>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</si>
  <si>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</si>
  <si>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</si>
  <si>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</si>
  <si>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</si>
  <si>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</si>
  <si>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</si>
  <si>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</si>
  <si>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</si>
  <si>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</si>
  <si>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</si>
  <si>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</si>
  <si>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</si>
  <si>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</si>
  <si>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</si>
  <si>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</si>
  <si>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</si>
  <si>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</si>
  <si>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</si>
  <si>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</si>
  <si>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</si>
  <si>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</si>
  <si>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</si>
  <si>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</si>
  <si>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</si>
  <si>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</si>
  <si>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</si>
  <si>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</si>
  <si>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</si>
  <si>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</si>
  <si>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</si>
  <si>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</si>
  <si>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</si>
  <si>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</si>
  <si>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</si>
  <si>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</si>
  <si>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</si>
  <si>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</si>
  <si>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</si>
  <si>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</si>
  <si>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</si>
  <si>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</si>
  <si>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</si>
  <si>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</si>
  <si>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</si>
  <si>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</si>
  <si>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</si>
  <si>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</si>
  <si>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</si>
  <si>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</si>
  <si>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</si>
  <si>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</si>
  <si>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</si>
  <si>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</si>
  <si>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</si>
  <si>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</si>
  <si>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</si>
  <si>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</si>
  <si>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</si>
  <si>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</si>
  <si>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</si>
  <si>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</si>
  <si>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</si>
  <si>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</si>
  <si>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</si>
  <si>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</si>
  <si>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</si>
  <si>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</si>
  <si>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</si>
  <si>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</si>
  <si>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</si>
  <si>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</si>
  <si>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</si>
  <si>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</si>
  <si>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</si>
  <si>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</si>
  <si>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</si>
  <si>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</si>
  <si>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</si>
  <si>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</si>
  <si>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</si>
  <si>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</si>
  <si>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</si>
  <si>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</si>
  <si>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</si>
  <si>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</si>
  <si>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</si>
  <si>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</si>
  <si>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</si>
  <si>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</si>
  <si>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</si>
  <si>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</si>
  <si>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</si>
  <si>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</si>
  <si>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</si>
  <si>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</si>
  <si>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</si>
  <si>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</si>
  <si>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</si>
  <si>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</si>
  <si>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</si>
  <si>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</si>
  <si>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</si>
  <si>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</si>
  <si>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</si>
  <si>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</si>
  <si>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</si>
  <si>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</si>
  <si>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</si>
  <si>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</si>
  <si>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</si>
  <si>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</si>
  <si>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</si>
  <si>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</si>
  <si>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</si>
  <si>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</si>
  <si>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</si>
  <si>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</si>
  <si>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</si>
  <si>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</si>
  <si>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</si>
  <si>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</si>
  <si>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</si>
  <si>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</si>
  <si>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</si>
  <si>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</si>
  <si>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</si>
  <si>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</si>
  <si>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</si>
  <si>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</si>
  <si>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</si>
  <si>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</si>
  <si>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</si>
  <si>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</si>
  <si>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</si>
  <si>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</si>
  <si>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</si>
  <si>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</si>
  <si>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</si>
  <si>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</si>
  <si>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</si>
  <si>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</si>
  <si>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</si>
  <si>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</si>
  <si>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</si>
  <si>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</si>
  <si>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</si>
  <si>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</si>
  <si>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</si>
  <si>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</si>
  <si>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</si>
  <si>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</si>
  <si>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</si>
  <si>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</si>
  <si>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</si>
  <si>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</si>
  <si>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</si>
  <si>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</si>
  <si>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</si>
  <si>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</si>
  <si>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</si>
  <si>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</si>
  <si>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</si>
  <si>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</si>
  <si>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</si>
  <si>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</si>
  <si>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</si>
  <si>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</si>
  <si>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</si>
  <si>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</si>
  <si>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</si>
  <si>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</si>
  <si>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</si>
  <si>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</si>
  <si>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</si>
  <si>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</si>
  <si>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</si>
  <si>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</si>
  <si>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</si>
  <si>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</si>
  <si>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</si>
  <si>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</si>
  <si>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</si>
  <si>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</si>
  <si>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</si>
  <si>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</si>
  <si>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</si>
  <si>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</si>
  <si>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</si>
  <si>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</si>
  <si>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</si>
  <si>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</si>
  <si>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</si>
  <si>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</si>
  <si>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</si>
  <si>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</si>
  <si>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</si>
  <si>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</si>
  <si>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</si>
  <si>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</si>
  <si>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</si>
  <si>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</si>
  <si>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</si>
  <si>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</si>
  <si>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</si>
  <si>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</si>
  <si>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</si>
  <si>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</si>
  <si>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</si>
  <si>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</si>
  <si>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</si>
  <si>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</si>
  <si>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</si>
  <si>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</si>
  <si>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</si>
  <si>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</si>
  <si>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</si>
  <si>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</si>
  <si>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</si>
  <si>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</si>
  <si>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</si>
  <si>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</si>
  <si>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</si>
  <si>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</si>
  <si>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</si>
  <si>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</si>
  <si>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</si>
  <si>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</si>
  <si>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</si>
  <si>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</si>
  <si>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</si>
  <si>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</si>
  <si>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</si>
  <si>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</si>
  <si>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</si>
  <si>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</si>
  <si>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</si>
  <si>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</si>
  <si>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</si>
  <si>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</si>
  <si>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</si>
  <si>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</si>
  <si>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</si>
  <si>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</si>
  <si>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</si>
  <si>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</si>
  <si>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</si>
  <si>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</si>
  <si>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</si>
  <si>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</si>
  <si>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</si>
  <si>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</si>
  <si>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</si>
  <si>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</si>
  <si>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</si>
  <si>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</si>
  <si>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</si>
  <si>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</si>
  <si>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</si>
  <si>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</si>
  <si>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</si>
  <si>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</si>
  <si>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</si>
  <si>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</si>
  <si>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</si>
  <si>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</si>
  <si>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</si>
  <si>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</si>
  <si>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</si>
  <si>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</si>
  <si>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</si>
  <si>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</si>
  <si>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</si>
  <si>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</si>
  <si>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</si>
  <si>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</si>
  <si>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</si>
  <si>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</si>
  <si>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</si>
  <si>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</si>
  <si>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</si>
  <si>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</si>
  <si>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</si>
  <si>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</si>
  <si>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</si>
  <si>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</si>
  <si>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</si>
  <si>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</si>
  <si>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</si>
  <si>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</si>
  <si>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</si>
  <si>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</si>
  <si>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</si>
  <si>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</si>
  <si>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</si>
  <si>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</si>
  <si>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</si>
  <si>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</si>
  <si>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</si>
  <si>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</si>
  <si>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</si>
  <si>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</si>
  <si>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</si>
  <si>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</si>
  <si>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</si>
  <si>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</si>
  <si>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</si>
  <si>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</si>
  <si>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</si>
  <si>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</si>
  <si>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</si>
  <si>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</si>
  <si>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</si>
  <si>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</si>
  <si>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</si>
  <si>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</si>
  <si>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</si>
  <si>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</si>
  <si>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</si>
  <si>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</si>
  <si>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</si>
  <si>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</si>
  <si>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</si>
  <si>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</si>
  <si>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</si>
  <si>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</si>
  <si>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</si>
  <si>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</si>
  <si>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</si>
  <si>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</si>
  <si>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</si>
  <si>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</si>
  <si>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</si>
  <si>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</si>
  <si>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</si>
  <si>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</si>
  <si>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</si>
  <si>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</si>
  <si>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</si>
  <si>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</si>
  <si>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</si>
  <si>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</si>
  <si>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</si>
  <si>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</si>
  <si>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</si>
  <si>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</si>
  <si>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</si>
  <si>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</si>
  <si>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</si>
  <si>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</si>
  <si>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</si>
  <si>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</si>
  <si>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</si>
  <si>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</si>
  <si>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</si>
  <si>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</si>
  <si>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</si>
  <si>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</si>
  <si>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</si>
  <si>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</si>
  <si>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</si>
  <si>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</si>
  <si>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</si>
  <si>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</si>
  <si>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</si>
  <si>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</si>
  <si>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</si>
  <si>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</si>
  <si>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</si>
  <si>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</si>
  <si>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</si>
  <si>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</si>
  <si>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</si>
  <si>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</si>
  <si>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</si>
  <si>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</si>
  <si>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</si>
  <si>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</si>
  <si>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</si>
  <si>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</si>
  <si>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</si>
  <si>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</si>
  <si>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</si>
  <si>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</si>
  <si>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</si>
  <si>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</si>
  <si>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</si>
  <si>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</si>
  <si>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</si>
  <si>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</si>
  <si>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</si>
  <si>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</si>
  <si>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</si>
  <si>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</si>
  <si>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</si>
  <si>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</si>
  <si>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</si>
  <si>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</si>
  <si>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</si>
  <si>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</si>
  <si>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</si>
  <si>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</si>
  <si>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</si>
  <si>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</si>
  <si>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</si>
  <si>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</si>
  <si>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</si>
  <si>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</si>
  <si>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</si>
  <si>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</si>
  <si>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</si>
  <si>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</si>
  <si>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</si>
  <si>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</si>
  <si>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</si>
  <si>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</si>
  <si>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</si>
  <si>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</si>
  <si>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</si>
  <si>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</si>
  <si>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</si>
  <si>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</si>
  <si>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</si>
  <si>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</si>
  <si>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</si>
  <si>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</si>
  <si>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</si>
  <si>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</si>
  <si>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</si>
  <si>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</si>
  <si>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</si>
  <si>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</si>
  <si>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</si>
  <si>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</si>
  <si>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</si>
  <si>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</si>
  <si>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</si>
  <si>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</si>
  <si>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</si>
  <si>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</si>
  <si>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</si>
  <si>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</si>
  <si>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</si>
  <si>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</si>
  <si>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</si>
  <si>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</si>
  <si>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</si>
  <si>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</si>
  <si>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</si>
  <si>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</si>
  <si>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</si>
  <si>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</si>
  <si>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</si>
  <si>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</si>
  <si>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</si>
  <si>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</si>
  <si>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</si>
  <si>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</si>
  <si>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</si>
  <si>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</si>
  <si>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</si>
  <si>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</si>
  <si>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</si>
  <si>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</si>
  <si>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</si>
  <si>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</si>
  <si>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</si>
  <si>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</si>
  <si>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</si>
  <si>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</si>
  <si>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</si>
  <si>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</si>
  <si>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</si>
  <si>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</si>
  <si>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</si>
  <si>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</si>
  <si>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</si>
  <si>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</si>
  <si>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</si>
  <si>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</si>
  <si>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</si>
  <si>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</si>
  <si>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</si>
  <si>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</si>
  <si>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</si>
  <si>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</si>
  <si>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</si>
  <si>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</si>
  <si>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</si>
  <si>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</si>
  <si>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</si>
  <si>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</si>
  <si>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</si>
  <si>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</si>
  <si>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</si>
  <si>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</si>
  <si>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</si>
  <si>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</si>
  <si>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</si>
  <si>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</si>
  <si>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</si>
  <si>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</si>
  <si>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</si>
  <si>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</si>
  <si>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</si>
  <si>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</si>
  <si>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</si>
  <si>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</si>
  <si>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</si>
  <si>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</si>
  <si>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</si>
  <si>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</si>
  <si>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</si>
  <si>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</si>
  <si>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</si>
  <si>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</si>
  <si>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</si>
  <si>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</si>
  <si>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</si>
  <si>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</si>
  <si>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</si>
  <si>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</si>
  <si>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</si>
  <si>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</si>
  <si>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</si>
  <si>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</si>
  <si>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</si>
  <si>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</si>
  <si>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</si>
  <si>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</si>
  <si>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</si>
  <si>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</si>
  <si>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</si>
  <si>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</si>
  <si>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</si>
  <si>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</si>
  <si>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</si>
  <si>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</si>
  <si>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</si>
  <si>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</si>
  <si>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</si>
  <si>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</si>
  <si>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</si>
  <si>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</si>
  <si>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</si>
  <si>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</si>
  <si>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</si>
  <si>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</si>
  <si>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</si>
  <si>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</si>
  <si>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</si>
  <si>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</si>
  <si>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</si>
  <si>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</si>
  <si>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</si>
  <si>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</si>
  <si>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</si>
  <si>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</si>
  <si>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</si>
  <si>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</si>
  <si>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</si>
  <si>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</si>
  <si>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</si>
  <si>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</si>
  <si>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</si>
  <si>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</si>
  <si>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</si>
  <si>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</si>
  <si>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</si>
  <si>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</si>
  <si>
    <t>Restructuring</t>
  </si>
  <si>
    <t>Impairment</t>
  </si>
  <si>
    <t>P/B C</t>
  </si>
  <si>
    <t>P/S C</t>
  </si>
  <si>
    <t>P/E C</t>
  </si>
  <si>
    <t>IPO</t>
  </si>
  <si>
    <t>(Projected)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</si>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</sst>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9" fillId="6" borderId="0" xfId="0" applyFont="1" applyFill="1"/>
    <xf numFmtId="0" fontId="12" fillId="6" borderId="0" xfId="0" applyFont="1" applyFill="1" applyAlignment="1">
      <alignment horizontal="right"/>
    </xf>
    <xf numFmtId="0" fontId="13" fillId="6" borderId="0" xfId="0" applyFont="1" applyFill="1" applyAlignment="1">
      <alignment horizontal="right"/>
    </xf>
    <xf numFmtId="0" fontId="12" fillId="6" borderId="0" xfId="0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9" fontId="1" fillId="6" borderId="0" xfId="0" applyNumberFormat="1" applyFont="1" applyFill="1"/>
    <xf numFmtId="164" fontId="12" fillId="6" borderId="0" xfId="0" applyNumberFormat="1" applyFont="1" applyFill="1"/>
    <xf numFmtId="9" fontId="12" fillId="6" borderId="0" xfId="0" applyNumberFormat="1" applyFont="1" applyFill="1"/>
    <xf numFmtId="2" fontId="1" fillId="6" borderId="0" xfId="0" applyNumberFormat="1" applyFont="1" applyFill="1"/>
    <xf numFmtId="4" fontId="1" fillId="6" borderId="0" xfId="0" applyNumberFormat="1" applyFont="1" applyFill="1"/>
    <xf numFmtId="9" fontId="9" fillId="6" borderId="0" xfId="0" applyNumberFormat="1" applyFont="1" applyFill="1"/>
    <xf numFmtId="164" fontId="9" fillId="6" borderId="0" xfId="0" applyNumberFormat="1" applyFont="1" applyFill="1"/>
    <xf numFmtId="4" fontId="9" fillId="6" borderId="0" xfId="0" applyNumberFormat="1" applyFont="1" applyFill="1"/>
    <xf numFmtId="9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0" fontId="12" fillId="0" borderId="0" xfId="0" applyFont="1"/>
    <xf numFmtId="9" fontId="12" fillId="0" borderId="0" xfId="0" applyNumberFormat="1" applyFont="1"/>
    <xf numFmtId="0" fontId="9" fillId="0" borderId="0" xfId="0" applyFont="1" applyAlignment="1">
      <alignment horizontal="right"/>
    </xf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164" fontId="1" fillId="0" borderId="5" xfId="0" applyNumberFormat="1" applyFont="1" applyBorder="1"/>
    <xf numFmtId="0" fontId="2" fillId="3" borderId="4" xfId="0" applyFont="1" applyFill="1" applyBorder="1"/>
    <xf numFmtId="0" fontId="9" fillId="0" borderId="5" xfId="0" applyFont="1" applyBorder="1"/>
    <xf numFmtId="0" fontId="1" fillId="3" borderId="6" xfId="0" applyFont="1" applyFill="1" applyBorder="1"/>
    <xf numFmtId="4" fontId="1" fillId="0" borderId="5" xfId="0" applyNumberFormat="1" applyFont="1" applyBorder="1"/>
    <xf numFmtId="9" fontId="1" fillId="0" borderId="8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28575</xdr:rowOff>
    </xdr:from>
    <xdr:to>
      <xdr:col>21</xdr:col>
      <xdr:colOff>9525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3201650" y="28575"/>
          <a:ext cx="0" cy="14154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87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7535525" y="0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wilio.com/news/news-details/2020/Twilio-Announces-Fourth-Quarter-and-Full-Year-2019-Results/default.aspx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hyperlink" Target="https://investors.twilio.com/news/news-details/2019/Twilio-Announces-Fourth-Quarter-and-Full-Year-2018-Results/default.asp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hyperlink" Target="https://investors.twilio.com/news/news-details/2020/Twilio-Announces-Fourth-Quarter-and-Full-Year-2019-Results/default.aspx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investors.twilio.com/news/news-details/2021/Twilio-Announces-Third-Quarter-2021-Results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investors.twilio.com/news/news-details/2022/Twilio-Announces-Fourth-Quarter-and-Full-Year-2021-Results/" TargetMode="External"/><Relationship Id="rId9" Type="http://schemas.openxmlformats.org/officeDocument/2006/relationships/hyperlink" Target="https://investors.twilio.com/news/news-details/2022/Twilio-Announces-Third-Quarter-2022-Result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39"/>
  <sheetViews>
    <sheetView workbookViewId="0">
      <selection activeCell="C25" sqref="C25:D25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48" t="s">
        <v>1716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2:18" x14ac:dyDescent="0.2">
      <c r="B3" s="2" t="s">
        <v>1</v>
      </c>
    </row>
    <row r="5" spans="2:18" x14ac:dyDescent="0.2">
      <c r="B5" s="55" t="s">
        <v>2</v>
      </c>
      <c r="C5" s="56"/>
      <c r="D5" s="57"/>
      <c r="G5" s="55" t="s">
        <v>24</v>
      </c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8" x14ac:dyDescent="0.2">
      <c r="B6" s="5" t="s">
        <v>3</v>
      </c>
      <c r="C6" s="4">
        <v>49.02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8" x14ac:dyDescent="0.2">
      <c r="B7" s="5" t="s">
        <v>4</v>
      </c>
      <c r="C7" s="18">
        <f>'Financial Model'!U19</f>
        <v>183.692564</v>
      </c>
      <c r="D7" s="16" t="str">
        <f>$C$28</f>
        <v>Q322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8" x14ac:dyDescent="0.2">
      <c r="B8" s="5" t="s">
        <v>5</v>
      </c>
      <c r="C8" s="18">
        <f>C6*C7</f>
        <v>9004.6094872800004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8" x14ac:dyDescent="0.2">
      <c r="B9" s="5" t="s">
        <v>6</v>
      </c>
      <c r="C9" s="18">
        <f>'Financial Model'!U72</f>
        <v>4208.5450000000001</v>
      </c>
      <c r="D9" s="16" t="str">
        <f t="shared" ref="D9:D11" si="0">$C$28</f>
        <v>Q322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8" x14ac:dyDescent="0.2">
      <c r="B10" s="5" t="s">
        <v>7</v>
      </c>
      <c r="C10" s="18">
        <f>'Financial Model'!U73</f>
        <v>1011.827</v>
      </c>
      <c r="D10" s="16" t="str">
        <f t="shared" si="0"/>
        <v>Q322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8" x14ac:dyDescent="0.2">
      <c r="B11" s="5" t="s">
        <v>8</v>
      </c>
      <c r="C11" s="18">
        <f>C9-C10</f>
        <v>3196.7179999999998</v>
      </c>
      <c r="D11" s="16" t="str">
        <f t="shared" si="0"/>
        <v>Q322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8" x14ac:dyDescent="0.2">
      <c r="B12" s="6" t="s">
        <v>9</v>
      </c>
      <c r="C12" s="19">
        <f>C8-C11</f>
        <v>5807.8914872800005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8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8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8" x14ac:dyDescent="0.2">
      <c r="B15" s="55" t="s">
        <v>10</v>
      </c>
      <c r="C15" s="56"/>
      <c r="D15" s="57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8" x14ac:dyDescent="0.2">
      <c r="B16" s="7" t="s">
        <v>11</v>
      </c>
      <c r="C16" s="51" t="s">
        <v>22</v>
      </c>
      <c r="D16" s="52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49"/>
      <c r="D17" s="50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51" t="s">
        <v>23</v>
      </c>
      <c r="D18" s="52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53"/>
      <c r="D19" s="54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55" t="s">
        <v>15</v>
      </c>
      <c r="C22" s="56"/>
      <c r="D22" s="57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51" t="s">
        <v>21</v>
      </c>
      <c r="D23" s="52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51">
        <v>2008</v>
      </c>
      <c r="D24" s="52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 t="s">
        <v>1722</v>
      </c>
      <c r="C25" s="51">
        <v>2016</v>
      </c>
      <c r="D25" s="52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51"/>
      <c r="D26" s="52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51"/>
      <c r="D27" s="52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43</v>
      </c>
      <c r="D28" s="33">
        <f>'Financial Model'!U3</f>
        <v>37926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62" t="s">
        <v>20</v>
      </c>
      <c r="D29" s="63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55" t="s">
        <v>106</v>
      </c>
      <c r="C32" s="56"/>
      <c r="D32" s="57"/>
    </row>
    <row r="33" spans="2:4" x14ac:dyDescent="0.2">
      <c r="B33" s="13" t="s">
        <v>1719</v>
      </c>
      <c r="C33" s="58">
        <f>C6/'Financial Model'!U70</f>
        <v>0.85506649460900186</v>
      </c>
      <c r="D33" s="59"/>
    </row>
    <row r="34" spans="2:4" x14ac:dyDescent="0.2">
      <c r="B34" s="13" t="s">
        <v>1720</v>
      </c>
      <c r="C34" s="58">
        <f>C8/SUM('Financial Model'!R4:U4)</f>
        <v>2.4707454311946444</v>
      </c>
      <c r="D34" s="59"/>
    </row>
    <row r="35" spans="2:4" x14ac:dyDescent="0.2">
      <c r="B35" s="13" t="s">
        <v>1721</v>
      </c>
      <c r="C35" s="58">
        <f>C6/SUM('Financial Model'!R18:U18)</f>
        <v>-6.7618910307413636</v>
      </c>
      <c r="D35" s="59"/>
    </row>
    <row r="36" spans="2:4" x14ac:dyDescent="0.2">
      <c r="B36" s="13"/>
      <c r="C36" s="46"/>
      <c r="D36" s="47"/>
    </row>
    <row r="37" spans="2:4" x14ac:dyDescent="0.2">
      <c r="B37" s="13" t="s">
        <v>103</v>
      </c>
      <c r="C37" s="58">
        <f>'Financial Model'!U80</f>
        <v>1.206024019528078</v>
      </c>
      <c r="D37" s="59"/>
    </row>
    <row r="38" spans="2:4" x14ac:dyDescent="0.2">
      <c r="B38" s="13" t="s">
        <v>105</v>
      </c>
      <c r="C38" s="58">
        <f>'Financial Model'!U81</f>
        <v>3.4848498391023606</v>
      </c>
      <c r="D38" s="59"/>
    </row>
    <row r="39" spans="2:4" x14ac:dyDescent="0.2">
      <c r="B39" s="14" t="s">
        <v>104</v>
      </c>
      <c r="C39" s="60">
        <f>'Financial Model'!U82</f>
        <v>-9.5372734774675205</v>
      </c>
      <c r="D39" s="61"/>
    </row>
  </sheetData>
  <mergeCells count="22">
    <mergeCell ref="B32:D32"/>
    <mergeCell ref="C37:D37"/>
    <mergeCell ref="C38:D38"/>
    <mergeCell ref="C39:D39"/>
    <mergeCell ref="B22:D22"/>
    <mergeCell ref="C29:D29"/>
    <mergeCell ref="C27:D27"/>
    <mergeCell ref="C26:D26"/>
    <mergeCell ref="C25:D25"/>
    <mergeCell ref="C24:D24"/>
    <mergeCell ref="C23:D23"/>
    <mergeCell ref="C33:D33"/>
    <mergeCell ref="C34:D34"/>
    <mergeCell ref="C35:D35"/>
    <mergeCell ref="G2:R2"/>
    <mergeCell ref="C17:D17"/>
    <mergeCell ref="C18:D18"/>
    <mergeCell ref="C19:D19"/>
    <mergeCell ref="G5:Q5"/>
    <mergeCell ref="B5:D5"/>
    <mergeCell ref="B15:D15"/>
    <mergeCell ref="C16:D16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ignoredErrors>
    <ignoredError sqref="C34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BW82"/>
  <sheetViews>
    <sheetView tabSelected="1" workbookViewId="0">
      <pane xSplit="2" ySplit="3" topLeftCell="X4" activePane="bottomRight" state="frozen"/>
      <selection pane="topRight" activeCell="C1" sqref="C1"/>
      <selection pane="bottomLeft" activeCell="A4" sqref="A4"/>
      <selection pane="bottomRight" activeCell="AP25" sqref="AP25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1" width="9.140625" style="1"/>
    <col min="22" max="22" width="9.140625" style="67"/>
    <col min="23" max="23" width="10" style="1" bestFit="1" customWidth="1"/>
    <col min="24" max="28" width="9.140625" style="1"/>
    <col min="29" max="29" width="9.140625" style="68"/>
    <col min="30" max="39" width="9.140625" style="35"/>
    <col min="40" max="40" width="9.140625" style="1"/>
    <col min="41" max="41" width="17.5703125" style="1" bestFit="1" customWidth="1"/>
    <col min="42" max="42" width="10.7109375" style="1" bestFit="1" customWidth="1"/>
    <col min="43" max="16384" width="9.140625" style="1"/>
  </cols>
  <sheetData>
    <row r="1" spans="1:39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7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7" t="s">
        <v>43</v>
      </c>
      <c r="V1" s="64" t="s">
        <v>44</v>
      </c>
      <c r="Y1" s="27" t="s">
        <v>45</v>
      </c>
      <c r="Z1" s="27" t="s">
        <v>46</v>
      </c>
      <c r="AA1" s="22" t="s">
        <v>47</v>
      </c>
      <c r="AB1" s="27" t="s">
        <v>48</v>
      </c>
      <c r="AC1" s="69" t="s">
        <v>49</v>
      </c>
      <c r="AD1" s="84" t="s">
        <v>50</v>
      </c>
      <c r="AE1" s="84" t="s">
        <v>51</v>
      </c>
      <c r="AF1" s="84" t="s">
        <v>52</v>
      </c>
      <c r="AG1" s="84" t="s">
        <v>53</v>
      </c>
      <c r="AH1" s="84" t="s">
        <v>54</v>
      </c>
      <c r="AI1" s="84" t="s">
        <v>55</v>
      </c>
      <c r="AJ1" s="84" t="s">
        <v>56</v>
      </c>
      <c r="AK1" s="84" t="s">
        <v>57</v>
      </c>
      <c r="AL1" s="84" t="s">
        <v>58</v>
      </c>
      <c r="AM1" s="84" t="s">
        <v>1724</v>
      </c>
    </row>
    <row r="2" spans="1:39" s="24" customFormat="1" x14ac:dyDescent="0.2">
      <c r="A2" s="23"/>
      <c r="F2" s="26">
        <v>43465</v>
      </c>
      <c r="J2" s="26">
        <v>43830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V2" s="65"/>
      <c r="Y2" s="26">
        <v>43465</v>
      </c>
      <c r="Z2" s="26">
        <v>43830</v>
      </c>
      <c r="AA2" s="26">
        <v>44196</v>
      </c>
      <c r="AB2" s="26">
        <v>44561</v>
      </c>
      <c r="AC2" s="70"/>
      <c r="AD2" s="85"/>
      <c r="AE2" s="85"/>
      <c r="AF2" s="85"/>
      <c r="AG2" s="85"/>
      <c r="AH2" s="85"/>
      <c r="AI2" s="85"/>
      <c r="AJ2" s="85"/>
      <c r="AK2" s="85"/>
      <c r="AL2" s="85"/>
      <c r="AM2" s="85"/>
    </row>
    <row r="3" spans="1:39" s="24" customFormat="1" x14ac:dyDescent="0.2">
      <c r="A3" s="23"/>
      <c r="J3" s="25">
        <v>38384</v>
      </c>
      <c r="Q3" s="25">
        <v>46661</v>
      </c>
      <c r="R3" s="25">
        <v>39845</v>
      </c>
      <c r="S3" s="25">
        <v>38108</v>
      </c>
      <c r="T3" s="25">
        <v>38200</v>
      </c>
      <c r="U3" s="25">
        <v>37926</v>
      </c>
      <c r="V3" s="70" t="s">
        <v>1723</v>
      </c>
      <c r="Z3" s="25">
        <v>38384</v>
      </c>
      <c r="AB3" s="25">
        <v>39845</v>
      </c>
      <c r="AC3" s="70" t="s">
        <v>1723</v>
      </c>
      <c r="AD3" s="85"/>
      <c r="AE3" s="85"/>
      <c r="AF3" s="85"/>
      <c r="AG3" s="85"/>
      <c r="AH3" s="85"/>
      <c r="AI3" s="85"/>
      <c r="AJ3" s="85"/>
      <c r="AK3" s="85"/>
      <c r="AL3" s="85"/>
      <c r="AM3" s="85"/>
    </row>
    <row r="4" spans="1:39" s="29" customFormat="1" x14ac:dyDescent="0.2">
      <c r="B4" s="29" t="s">
        <v>59</v>
      </c>
      <c r="F4" s="29">
        <v>204.30199999999999</v>
      </c>
      <c r="J4" s="29">
        <v>331.22399999999999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U4" s="29">
        <v>983.03</v>
      </c>
      <c r="V4" s="72">
        <f>U4*(1+V22)</f>
        <v>1024.3747107660538</v>
      </c>
      <c r="Y4" s="29">
        <v>650.06700000000001</v>
      </c>
      <c r="Z4" s="29">
        <v>1134.4680000000001</v>
      </c>
      <c r="AA4" s="29">
        <v>1761.7760000000001</v>
      </c>
      <c r="AB4" s="29">
        <v>2841.8389999999999</v>
      </c>
      <c r="AC4" s="75">
        <f>SUM(S4:V4)</f>
        <v>3826.1217107660541</v>
      </c>
      <c r="AD4" s="86">
        <f>AC4*(1+AD21)</f>
        <v>5165.2643095341737</v>
      </c>
      <c r="AE4" s="86">
        <f t="shared" ref="AE4:AM4" si="0">AD4*(1+AE21)</f>
        <v>6714.8436023944259</v>
      </c>
      <c r="AF4" s="86">
        <f t="shared" si="0"/>
        <v>8594.9998110648648</v>
      </c>
      <c r="AG4" s="86">
        <f t="shared" si="0"/>
        <v>10313.999773277837</v>
      </c>
      <c r="AH4" s="86">
        <f t="shared" si="0"/>
        <v>11861.099739269512</v>
      </c>
      <c r="AI4" s="86">
        <f t="shared" si="0"/>
        <v>13640.264700159938</v>
      </c>
      <c r="AJ4" s="86">
        <f t="shared" si="0"/>
        <v>15140.693817177533</v>
      </c>
      <c r="AK4" s="86">
        <f t="shared" si="0"/>
        <v>16200.542384379962</v>
      </c>
      <c r="AL4" s="86">
        <f t="shared" si="0"/>
        <v>17334.58035128656</v>
      </c>
      <c r="AM4" s="86">
        <f t="shared" si="0"/>
        <v>18548.000975876621</v>
      </c>
    </row>
    <row r="5" spans="1:39" x14ac:dyDescent="0.2">
      <c r="B5" s="1" t="s">
        <v>60</v>
      </c>
      <c r="F5" s="30">
        <v>96.287999999999997</v>
      </c>
      <c r="J5" s="30">
        <v>156.53399999999999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U5" s="30">
        <v>520.95500000000004</v>
      </c>
      <c r="V5" s="73">
        <f>V4*V24</f>
        <v>481.5091548347703</v>
      </c>
      <c r="W5" s="2"/>
      <c r="Y5" s="30">
        <v>300.84100000000001</v>
      </c>
      <c r="Z5" s="30">
        <v>525.55100000000004</v>
      </c>
      <c r="AA5" s="30">
        <v>846.11500000000001</v>
      </c>
      <c r="AB5" s="30">
        <v>1451.126</v>
      </c>
      <c r="AC5" s="80">
        <f>SUM(S5:V5)</f>
        <v>1950.8211548347701</v>
      </c>
      <c r="AD5" s="36">
        <f>AD4*AD24</f>
        <v>2582.6321547670868</v>
      </c>
      <c r="AE5" s="36">
        <f t="shared" ref="AE5:AM5" si="1">AE4*AE24</f>
        <v>3357.421801197213</v>
      </c>
      <c r="AF5" s="36">
        <f t="shared" si="1"/>
        <v>4555.349899864379</v>
      </c>
      <c r="AG5" s="36">
        <f t="shared" si="1"/>
        <v>5672.6998753028111</v>
      </c>
      <c r="AH5" s="36">
        <f t="shared" si="1"/>
        <v>6523.6048565982319</v>
      </c>
      <c r="AI5" s="36">
        <f t="shared" si="1"/>
        <v>7502.1455850879665</v>
      </c>
      <c r="AJ5" s="36">
        <f t="shared" si="1"/>
        <v>8327.3815994476445</v>
      </c>
      <c r="AK5" s="36">
        <f t="shared" si="1"/>
        <v>8910.2983114089802</v>
      </c>
      <c r="AL5" s="36">
        <f t="shared" si="1"/>
        <v>9534.0191932076086</v>
      </c>
      <c r="AM5" s="36">
        <f t="shared" si="1"/>
        <v>10201.400536732142</v>
      </c>
    </row>
    <row r="6" spans="1:39" s="2" customFormat="1" x14ac:dyDescent="0.2">
      <c r="B6" s="2" t="s">
        <v>61</v>
      </c>
      <c r="F6" s="29">
        <f t="shared" ref="F6" si="2">F4-F5</f>
        <v>108.014</v>
      </c>
      <c r="J6" s="29">
        <f t="shared" ref="J6" si="3">J4-J5</f>
        <v>174.69</v>
      </c>
      <c r="M6" s="29">
        <f t="shared" ref="M6" si="4">M4-M5</f>
        <v>230.874</v>
      </c>
      <c r="N6" s="29">
        <f t="shared" ref="N6:U6" si="5">N4-N5</f>
        <v>282.12100000000004</v>
      </c>
      <c r="O6" s="29">
        <f t="shared" si="5"/>
        <v>298.30400000000003</v>
      </c>
      <c r="P6" s="29">
        <f t="shared" si="5"/>
        <v>331.24700000000001</v>
      </c>
      <c r="Q6" s="29">
        <f t="shared" si="5"/>
        <v>364.61500000000007</v>
      </c>
      <c r="R6" s="29">
        <f t="shared" si="5"/>
        <v>396.54700000000003</v>
      </c>
      <c r="S6" s="29">
        <f t="shared" si="5"/>
        <v>425.07100000000008</v>
      </c>
      <c r="T6" s="29">
        <f t="shared" si="5"/>
        <v>445.28900000000004</v>
      </c>
      <c r="U6" s="29">
        <f t="shared" si="5"/>
        <v>462.07499999999993</v>
      </c>
      <c r="V6" s="72">
        <f>V4-V5</f>
        <v>542.86555593128355</v>
      </c>
      <c r="Y6" s="29">
        <f t="shared" ref="Y6:Z6" si="6">Y4-Y5</f>
        <v>349.226</v>
      </c>
      <c r="Z6" s="29">
        <f t="shared" si="6"/>
        <v>608.91700000000003</v>
      </c>
      <c r="AA6" s="29">
        <f>AA4-AA5</f>
        <v>915.66100000000006</v>
      </c>
      <c r="AB6" s="29">
        <f>AB4-AB5</f>
        <v>1390.713</v>
      </c>
      <c r="AC6" s="75">
        <f>AC4-AC5</f>
        <v>1875.300555931284</v>
      </c>
      <c r="AD6" s="86">
        <f>AD4-AD5</f>
        <v>2582.6321547670868</v>
      </c>
      <c r="AE6" s="86">
        <f t="shared" ref="AE6:AM6" si="7">AE4-AE5</f>
        <v>3357.421801197213</v>
      </c>
      <c r="AF6" s="86">
        <f t="shared" si="7"/>
        <v>4039.6499112004858</v>
      </c>
      <c r="AG6" s="86">
        <f t="shared" si="7"/>
        <v>4641.2998979750264</v>
      </c>
      <c r="AH6" s="86">
        <f t="shared" si="7"/>
        <v>5337.4948826712798</v>
      </c>
      <c r="AI6" s="86">
        <f t="shared" si="7"/>
        <v>6138.1191150719715</v>
      </c>
      <c r="AJ6" s="86">
        <f t="shared" si="7"/>
        <v>6813.3122177298883</v>
      </c>
      <c r="AK6" s="86">
        <f t="shared" si="7"/>
        <v>7290.2440729709815</v>
      </c>
      <c r="AL6" s="86">
        <f t="shared" si="7"/>
        <v>7800.5611580789518</v>
      </c>
      <c r="AM6" s="86">
        <f t="shared" si="7"/>
        <v>8346.6004391444785</v>
      </c>
    </row>
    <row r="7" spans="1:39" x14ac:dyDescent="0.2">
      <c r="B7" s="1" t="s">
        <v>62</v>
      </c>
      <c r="F7" s="30">
        <v>51.631</v>
      </c>
      <c r="J7" s="30">
        <v>110.236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U7" s="30">
        <v>284.73500000000001</v>
      </c>
      <c r="V7" s="73">
        <f>0.28*V4</f>
        <v>286.82491901449509</v>
      </c>
      <c r="Y7" s="30">
        <v>171.358</v>
      </c>
      <c r="Z7" s="30">
        <v>391.35500000000002</v>
      </c>
      <c r="AA7" s="30">
        <v>530.548</v>
      </c>
      <c r="AB7" s="30">
        <v>789.21900000000005</v>
      </c>
      <c r="AC7" s="80">
        <f t="shared" ref="AC7:AC11" si="8">SUM(S7:V7)</f>
        <v>1091.8119190144951</v>
      </c>
      <c r="AD7" s="36">
        <f>0.28*AD4</f>
        <v>1446.2740066695687</v>
      </c>
      <c r="AE7" s="36">
        <f>0.23*AE4</f>
        <v>1544.4140285507181</v>
      </c>
      <c r="AF7" s="36">
        <f>0.18*AF4</f>
        <v>1547.0999659916756</v>
      </c>
      <c r="AG7" s="36">
        <f>0.13*AG4</f>
        <v>1340.8199705261188</v>
      </c>
      <c r="AH7" s="36">
        <f t="shared" ref="AH7:AI7" si="9">0.13*AH4</f>
        <v>1541.9429661050365</v>
      </c>
      <c r="AI7" s="36">
        <f t="shared" si="9"/>
        <v>1773.2344110207921</v>
      </c>
      <c r="AJ7" s="36">
        <f>0.08*AJ4</f>
        <v>1211.2555053742026</v>
      </c>
      <c r="AK7" s="36">
        <f t="shared" ref="AK7:AM7" si="10">0.08*AK4</f>
        <v>1296.0433907503971</v>
      </c>
      <c r="AL7" s="36">
        <f t="shared" si="10"/>
        <v>1386.7664281029249</v>
      </c>
      <c r="AM7" s="36">
        <f t="shared" si="10"/>
        <v>1483.8400780701297</v>
      </c>
    </row>
    <row r="8" spans="1:39" x14ac:dyDescent="0.2">
      <c r="B8" s="1" t="s">
        <v>63</v>
      </c>
      <c r="F8" s="30">
        <v>59.034999999999997</v>
      </c>
      <c r="J8" s="30">
        <v>106.39400000000001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U8" s="30">
        <v>328.83300000000003</v>
      </c>
      <c r="V8" s="73">
        <f>V4*0.33</f>
        <v>338.04365455279776</v>
      </c>
      <c r="Y8" s="30">
        <v>175.55500000000001</v>
      </c>
      <c r="Z8" s="30">
        <v>369.07900000000001</v>
      </c>
      <c r="AA8" s="30">
        <v>567.40700000000004</v>
      </c>
      <c r="AB8" s="30">
        <v>1044.6179999999999</v>
      </c>
      <c r="AC8" s="80">
        <f t="shared" si="8"/>
        <v>1289.7406545527979</v>
      </c>
      <c r="AD8" s="36">
        <f>AD4*0.33</f>
        <v>1704.5372221462774</v>
      </c>
      <c r="AE8" s="36">
        <f t="shared" ref="AE8:AM8" si="11">AE4*0.33</f>
        <v>2215.8983887901609</v>
      </c>
      <c r="AF8" s="36">
        <f>AF4*0.25</f>
        <v>2148.7499527662162</v>
      </c>
      <c r="AG8" s="36">
        <f>AG4*0.16</f>
        <v>1650.2399637244541</v>
      </c>
      <c r="AH8" s="36">
        <f t="shared" ref="AH8" si="12">AH4*0.16</f>
        <v>1897.775958283122</v>
      </c>
      <c r="AI8" s="36">
        <f>AI4*0.1</f>
        <v>1364.0264700159939</v>
      </c>
      <c r="AJ8" s="36">
        <f t="shared" ref="AJ8:AM8" si="13">AJ4*0.1</f>
        <v>1514.0693817177535</v>
      </c>
      <c r="AK8" s="36">
        <f t="shared" si="13"/>
        <v>1620.0542384379962</v>
      </c>
      <c r="AL8" s="36">
        <f t="shared" si="13"/>
        <v>1733.4580351286561</v>
      </c>
      <c r="AM8" s="36">
        <f t="shared" si="13"/>
        <v>1854.8000975876621</v>
      </c>
    </row>
    <row r="9" spans="1:39" x14ac:dyDescent="0.2">
      <c r="B9" s="1" t="s">
        <v>64</v>
      </c>
      <c r="F9" s="30">
        <v>41.335000000000001</v>
      </c>
      <c r="J9" s="30">
        <v>51.859000000000002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U9" s="30">
        <v>135.33099999999999</v>
      </c>
      <c r="V9" s="73">
        <f>V4*0.135</f>
        <v>138.29058595341726</v>
      </c>
      <c r="Y9" s="30">
        <v>117.548</v>
      </c>
      <c r="Z9" s="30">
        <v>218.268</v>
      </c>
      <c r="AA9" s="30">
        <v>310.60700000000003</v>
      </c>
      <c r="AB9" s="30">
        <v>472.46</v>
      </c>
      <c r="AC9" s="80">
        <f t="shared" si="8"/>
        <v>530.6095859534172</v>
      </c>
      <c r="AD9" s="36">
        <f>AD4*0.135</f>
        <v>697.31068178711348</v>
      </c>
      <c r="AE9" s="36">
        <f t="shared" ref="AE9:AM9" si="14">AE4*0.135</f>
        <v>906.50388632324757</v>
      </c>
      <c r="AF9" s="36">
        <f t="shared" si="14"/>
        <v>1160.3249744937568</v>
      </c>
      <c r="AG9" s="36">
        <f t="shared" si="14"/>
        <v>1392.3899693925082</v>
      </c>
      <c r="AH9" s="36">
        <f t="shared" si="14"/>
        <v>1601.2484648013842</v>
      </c>
      <c r="AI9" s="36">
        <f t="shared" si="14"/>
        <v>1841.4357345215917</v>
      </c>
      <c r="AJ9" s="36">
        <f t="shared" si="14"/>
        <v>2043.993665318967</v>
      </c>
      <c r="AK9" s="36">
        <f t="shared" si="14"/>
        <v>2187.0732218912949</v>
      </c>
      <c r="AL9" s="36">
        <f t="shared" si="14"/>
        <v>2340.1683474236856</v>
      </c>
      <c r="AM9" s="36">
        <f t="shared" si="14"/>
        <v>2503.9801317433439</v>
      </c>
    </row>
    <row r="10" spans="1:39" x14ac:dyDescent="0.2">
      <c r="B10" s="1" t="s">
        <v>1717</v>
      </c>
      <c r="F10" s="30">
        <v>0</v>
      </c>
      <c r="J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72.450999999999993</v>
      </c>
      <c r="V10" s="73">
        <f>U10*0.25</f>
        <v>18.112749999999998</v>
      </c>
      <c r="Y10" s="30">
        <v>0</v>
      </c>
      <c r="Z10" s="30">
        <v>0</v>
      </c>
      <c r="AA10" s="30">
        <v>0</v>
      </c>
      <c r="AB10" s="30">
        <v>0</v>
      </c>
      <c r="AC10" s="80">
        <f t="shared" si="8"/>
        <v>90.563749999999999</v>
      </c>
      <c r="AD10" s="36">
        <f>AC10*0.05</f>
        <v>4.5281875000000005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</row>
    <row r="11" spans="1:39" x14ac:dyDescent="0.2">
      <c r="B11" s="1" t="s">
        <v>1718</v>
      </c>
      <c r="F11" s="30">
        <v>0</v>
      </c>
      <c r="J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97.721999999999994</v>
      </c>
      <c r="V11" s="73">
        <f>U11*0.25</f>
        <v>24.430499999999999</v>
      </c>
      <c r="Y11" s="30">
        <v>0</v>
      </c>
      <c r="Z11" s="30">
        <v>0</v>
      </c>
      <c r="AA11" s="30">
        <v>0</v>
      </c>
      <c r="AB11" s="30">
        <v>0</v>
      </c>
      <c r="AC11" s="80">
        <f t="shared" si="8"/>
        <v>122.15249999999999</v>
      </c>
      <c r="AD11" s="36">
        <f t="shared" ref="AD11" si="15">AC11*0.05</f>
        <v>6.1076249999999996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</row>
    <row r="12" spans="1:39" x14ac:dyDescent="0.2">
      <c r="B12" s="1" t="s">
        <v>65</v>
      </c>
      <c r="F12" s="30">
        <f t="shared" ref="F12" si="16">SUM(F7:F11)</f>
        <v>152.001</v>
      </c>
      <c r="J12" s="30">
        <f>SUM(J7:J11)</f>
        <v>268.48899999999998</v>
      </c>
      <c r="M12" s="30">
        <f t="shared" ref="M12:U12" si="17">SUM(M7:M11)</f>
        <v>343.14400000000001</v>
      </c>
      <c r="N12" s="30">
        <f t="shared" si="17"/>
        <v>467.41199999999992</v>
      </c>
      <c r="O12" s="30">
        <f t="shared" si="17"/>
        <v>495.64299999999997</v>
      </c>
      <c r="P12" s="30">
        <f t="shared" si="17"/>
        <v>533.52099999999996</v>
      </c>
      <c r="Q12" s="30">
        <f t="shared" si="17"/>
        <v>596.96</v>
      </c>
      <c r="R12" s="30">
        <f t="shared" si="17"/>
        <v>680.173</v>
      </c>
      <c r="S12" s="30">
        <f t="shared" si="17"/>
        <v>642.87900000000002</v>
      </c>
      <c r="T12" s="30">
        <f t="shared" si="17"/>
        <v>757.22500000000002</v>
      </c>
      <c r="U12" s="30">
        <f t="shared" si="17"/>
        <v>919.072</v>
      </c>
      <c r="V12" s="73">
        <f>SUM(V7:V11)</f>
        <v>805.70240952071015</v>
      </c>
      <c r="Y12" s="30">
        <f t="shared" ref="Y12" si="18">SUM(Y7:Y11)</f>
        <v>464.46100000000001</v>
      </c>
      <c r="Z12" s="30">
        <f t="shared" ref="Z12" si="19">SUM(Z7:Z11)</f>
        <v>978.702</v>
      </c>
      <c r="AA12" s="30">
        <f t="shared" ref="AA12" si="20">SUM(AA7:AA11)</f>
        <v>1408.5619999999999</v>
      </c>
      <c r="AB12" s="30">
        <f t="shared" ref="AB12:AM12" si="21">SUM(AB7:AB11)</f>
        <v>2306.297</v>
      </c>
      <c r="AC12" s="80">
        <f>SUM(AC7:AC11)</f>
        <v>3124.8784095207097</v>
      </c>
      <c r="AD12" s="30">
        <f t="shared" si="21"/>
        <v>3858.75772310296</v>
      </c>
      <c r="AE12" s="30">
        <f t="shared" si="21"/>
        <v>4666.8163036641263</v>
      </c>
      <c r="AF12" s="30">
        <f t="shared" si="21"/>
        <v>4856.1748932516484</v>
      </c>
      <c r="AG12" s="30">
        <f t="shared" si="21"/>
        <v>4383.4499036430807</v>
      </c>
      <c r="AH12" s="30">
        <f t="shared" si="21"/>
        <v>5040.9673891895427</v>
      </c>
      <c r="AI12" s="30">
        <f t="shared" si="21"/>
        <v>4978.6966155583777</v>
      </c>
      <c r="AJ12" s="30">
        <f t="shared" si="21"/>
        <v>4769.3185524109231</v>
      </c>
      <c r="AK12" s="30">
        <f t="shared" si="21"/>
        <v>5103.1708510796889</v>
      </c>
      <c r="AL12" s="30">
        <f t="shared" si="21"/>
        <v>5460.3928106552667</v>
      </c>
      <c r="AM12" s="30">
        <f t="shared" si="21"/>
        <v>5842.6203074011355</v>
      </c>
    </row>
    <row r="13" spans="1:39" s="2" customFormat="1" x14ac:dyDescent="0.2">
      <c r="B13" s="2" t="s">
        <v>66</v>
      </c>
      <c r="F13" s="29">
        <f>F6-F12</f>
        <v>-43.987000000000009</v>
      </c>
      <c r="J13" s="29">
        <f>J6-J12</f>
        <v>-93.798999999999978</v>
      </c>
      <c r="M13" s="29">
        <f t="shared" ref="M13:V13" si="22">M6-M12</f>
        <v>-112.27000000000001</v>
      </c>
      <c r="N13" s="29">
        <f t="shared" si="22"/>
        <v>-185.29099999999988</v>
      </c>
      <c r="O13" s="29">
        <f t="shared" si="22"/>
        <v>-197.33899999999994</v>
      </c>
      <c r="P13" s="29">
        <f t="shared" si="22"/>
        <v>-202.27399999999994</v>
      </c>
      <c r="Q13" s="29">
        <f t="shared" si="22"/>
        <v>-232.34499999999997</v>
      </c>
      <c r="R13" s="29">
        <f t="shared" si="22"/>
        <v>-283.62599999999998</v>
      </c>
      <c r="S13" s="29">
        <f t="shared" si="22"/>
        <v>-217.80799999999994</v>
      </c>
      <c r="T13" s="29">
        <f t="shared" si="22"/>
        <v>-311.93599999999998</v>
      </c>
      <c r="U13" s="29">
        <f t="shared" si="22"/>
        <v>-456.99700000000007</v>
      </c>
      <c r="V13" s="72">
        <f t="shared" si="22"/>
        <v>-262.8368535894266</v>
      </c>
      <c r="Y13" s="29">
        <f>Y6-Y12</f>
        <v>-115.23500000000001</v>
      </c>
      <c r="Z13" s="29">
        <f>Z6-Z12</f>
        <v>-369.78499999999997</v>
      </c>
      <c r="AA13" s="29">
        <f>AA6-AA12</f>
        <v>-492.90099999999984</v>
      </c>
      <c r="AB13" s="29">
        <f>AB6-AB12</f>
        <v>-915.58400000000006</v>
      </c>
      <c r="AC13" s="72">
        <f t="shared" ref="AC13:AM13" si="23">AC6-AC12</f>
        <v>-1249.5778535894258</v>
      </c>
      <c r="AD13" s="86">
        <f t="shared" si="23"/>
        <v>-1276.1255683358731</v>
      </c>
      <c r="AE13" s="86">
        <f t="shared" si="23"/>
        <v>-1309.3945024669133</v>
      </c>
      <c r="AF13" s="86">
        <f t="shared" si="23"/>
        <v>-816.52498205116262</v>
      </c>
      <c r="AG13" s="86">
        <f t="shared" si="23"/>
        <v>257.84999433194571</v>
      </c>
      <c r="AH13" s="86">
        <f t="shared" si="23"/>
        <v>296.52749348173711</v>
      </c>
      <c r="AI13" s="86">
        <f t="shared" si="23"/>
        <v>1159.4224995135937</v>
      </c>
      <c r="AJ13" s="86">
        <f t="shared" si="23"/>
        <v>2043.9936653189652</v>
      </c>
      <c r="AK13" s="86">
        <f t="shared" si="23"/>
        <v>2187.0732218912926</v>
      </c>
      <c r="AL13" s="86">
        <f t="shared" si="23"/>
        <v>2340.1683474236852</v>
      </c>
      <c r="AM13" s="86">
        <f t="shared" si="23"/>
        <v>2503.980131743343</v>
      </c>
    </row>
    <row r="14" spans="1:39" x14ac:dyDescent="0.2">
      <c r="B14" s="1" t="s">
        <v>67</v>
      </c>
      <c r="F14" s="30">
        <v>2.7509999999999999</v>
      </c>
      <c r="J14" s="30">
        <v>-4.7080000000000002</v>
      </c>
      <c r="M14" s="30">
        <v>3.996</v>
      </c>
      <c r="N14" s="30">
        <v>9.4260000000000002</v>
      </c>
      <c r="O14" s="30">
        <v>8.3130000000000006</v>
      </c>
      <c r="P14" s="30">
        <v>24.292999999999999</v>
      </c>
      <c r="Q14" s="30">
        <v>6.6130000000000004</v>
      </c>
      <c r="R14" s="30">
        <v>6.1260000000000003</v>
      </c>
      <c r="S14" s="30">
        <v>6.6769999999999996</v>
      </c>
      <c r="T14" s="30">
        <v>8.2390000000000008</v>
      </c>
      <c r="U14" s="30">
        <v>21.75</v>
      </c>
      <c r="V14" s="73">
        <f>AVERAGE(R14:U14)</f>
        <v>10.698</v>
      </c>
      <c r="Y14" s="30">
        <v>5.923</v>
      </c>
      <c r="Z14" s="30">
        <v>-7.569</v>
      </c>
      <c r="AA14" s="30">
        <v>11.525</v>
      </c>
      <c r="AB14" s="30">
        <v>45.344999999999999</v>
      </c>
      <c r="AC14" s="80">
        <f>SUM(S14:V14)</f>
        <v>47.363999999999997</v>
      </c>
      <c r="AD14" s="36">
        <f>AVERAGE(Y14:AC14)</f>
        <v>20.517599999999998</v>
      </c>
      <c r="AE14" s="36">
        <f>AD14*0.15</f>
        <v>3.0776399999999997</v>
      </c>
      <c r="AF14" s="36">
        <f t="shared" ref="AF14:AM14" si="24">AE14*0.15</f>
        <v>0.46164599999999995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</row>
    <row r="15" spans="1:39" x14ac:dyDescent="0.2">
      <c r="B15" s="1" t="s">
        <v>76</v>
      </c>
      <c r="F15" s="30">
        <f t="shared" ref="F15" si="25">F13-F14</f>
        <v>-46.738000000000007</v>
      </c>
      <c r="J15" s="30">
        <f t="shared" ref="J15" si="26">J13-J14</f>
        <v>-89.09099999999998</v>
      </c>
      <c r="M15" s="30">
        <f t="shared" ref="M15" si="27">M13-M14</f>
        <v>-116.26600000000001</v>
      </c>
      <c r="N15" s="30">
        <f t="shared" ref="N15" si="28">N13-N14</f>
        <v>-194.71699999999987</v>
      </c>
      <c r="O15" s="30">
        <f t="shared" ref="O15:V15" si="29">O13-O14</f>
        <v>-205.65199999999993</v>
      </c>
      <c r="P15" s="30">
        <f t="shared" si="29"/>
        <v>-226.56699999999995</v>
      </c>
      <c r="Q15" s="30">
        <f t="shared" si="29"/>
        <v>-238.95799999999997</v>
      </c>
      <c r="R15" s="30">
        <f t="shared" si="29"/>
        <v>-289.75199999999995</v>
      </c>
      <c r="S15" s="30">
        <f t="shared" si="29"/>
        <v>-224.48499999999993</v>
      </c>
      <c r="T15" s="30">
        <f t="shared" si="29"/>
        <v>-320.17499999999995</v>
      </c>
      <c r="U15" s="30">
        <f t="shared" si="29"/>
        <v>-478.74700000000007</v>
      </c>
      <c r="V15" s="67">
        <f t="shared" si="29"/>
        <v>-273.53485358942658</v>
      </c>
      <c r="Y15" s="30">
        <f t="shared" ref="Y15:Z15" si="30">Y13-Y14</f>
        <v>-121.15800000000002</v>
      </c>
      <c r="Z15" s="30">
        <f t="shared" si="30"/>
        <v>-362.21599999999995</v>
      </c>
      <c r="AA15" s="30">
        <f>AA13-AA14</f>
        <v>-504.42599999999982</v>
      </c>
      <c r="AB15" s="30">
        <f>AB13-AB14</f>
        <v>-960.92900000000009</v>
      </c>
      <c r="AC15" s="80">
        <f>AC13-AC14</f>
        <v>-1296.9418535894258</v>
      </c>
      <c r="AD15" s="30">
        <f t="shared" ref="AD15:AM15" si="31">AD13-AD14</f>
        <v>-1296.643168335873</v>
      </c>
      <c r="AE15" s="30">
        <f t="shared" si="31"/>
        <v>-1312.4721424669133</v>
      </c>
      <c r="AF15" s="30">
        <f t="shared" si="31"/>
        <v>-816.9866280511626</v>
      </c>
      <c r="AG15" s="30">
        <f t="shared" si="31"/>
        <v>257.84999433194571</v>
      </c>
      <c r="AH15" s="30">
        <f t="shared" si="31"/>
        <v>296.52749348173711</v>
      </c>
      <c r="AI15" s="30">
        <f t="shared" si="31"/>
        <v>1159.4224995135937</v>
      </c>
      <c r="AJ15" s="30">
        <f t="shared" si="31"/>
        <v>2043.9936653189652</v>
      </c>
      <c r="AK15" s="30">
        <f t="shared" si="31"/>
        <v>2187.0732218912926</v>
      </c>
      <c r="AL15" s="30">
        <f t="shared" si="31"/>
        <v>2340.1683474236852</v>
      </c>
      <c r="AM15" s="30">
        <f t="shared" si="31"/>
        <v>2503.980131743343</v>
      </c>
    </row>
    <row r="16" spans="1:39" x14ac:dyDescent="0.2">
      <c r="B16" s="1" t="s">
        <v>68</v>
      </c>
      <c r="F16" s="30">
        <v>0.42</v>
      </c>
      <c r="J16" s="30">
        <v>1.1559999999999999</v>
      </c>
      <c r="M16" s="30">
        <v>0.64800000000000002</v>
      </c>
      <c r="N16" s="30">
        <v>-15.366</v>
      </c>
      <c r="O16" s="30">
        <v>0.89</v>
      </c>
      <c r="P16" s="30">
        <v>1.286</v>
      </c>
      <c r="Q16" s="30">
        <v>-14.849</v>
      </c>
      <c r="R16" s="30">
        <v>1.6439999999999999</v>
      </c>
      <c r="S16" s="30">
        <v>-2.8580000000000001</v>
      </c>
      <c r="T16" s="30">
        <v>2.5939999999999999</v>
      </c>
      <c r="U16" s="30">
        <v>3.58</v>
      </c>
      <c r="V16" s="73">
        <f>V15*V27</f>
        <v>2.735348535894266</v>
      </c>
      <c r="Y16" s="30">
        <v>0.79100000000000004</v>
      </c>
      <c r="Z16" s="30">
        <v>-55.152999999999999</v>
      </c>
      <c r="AA16" s="30">
        <v>-13.446999999999999</v>
      </c>
      <c r="AB16" s="30">
        <v>-11.029</v>
      </c>
      <c r="AC16" s="80">
        <f>SUM(S16:V16)</f>
        <v>6.0513485358942658</v>
      </c>
      <c r="AD16" s="36">
        <f>AD15*AD27</f>
        <v>-19.449647525038095</v>
      </c>
      <c r="AE16" s="36">
        <f t="shared" ref="AE16:AM16" si="32">AE15*AE27</f>
        <v>-19.687082137003699</v>
      </c>
      <c r="AF16" s="36">
        <f t="shared" si="32"/>
        <v>-12.254799420767439</v>
      </c>
      <c r="AG16" s="36">
        <f t="shared" si="32"/>
        <v>7.7354998299583713</v>
      </c>
      <c r="AH16" s="36">
        <f t="shared" si="32"/>
        <v>14.826374674086857</v>
      </c>
      <c r="AI16" s="36">
        <f t="shared" si="32"/>
        <v>57.971124975679686</v>
      </c>
      <c r="AJ16" s="36">
        <f t="shared" si="32"/>
        <v>102.19968326594827</v>
      </c>
      <c r="AK16" s="36">
        <f t="shared" si="32"/>
        <v>109.35366109456464</v>
      </c>
      <c r="AL16" s="36">
        <f t="shared" si="32"/>
        <v>117.00841737118427</v>
      </c>
      <c r="AM16" s="36">
        <f t="shared" si="32"/>
        <v>125.19900658716716</v>
      </c>
    </row>
    <row r="17" spans="2:75" s="2" customFormat="1" x14ac:dyDescent="0.2">
      <c r="B17" s="2" t="s">
        <v>70</v>
      </c>
      <c r="F17" s="29">
        <f t="shared" ref="F17" si="33">F15-F16</f>
        <v>-47.158000000000008</v>
      </c>
      <c r="J17" s="29">
        <f t="shared" ref="J17" si="34">J15-J16</f>
        <v>-90.246999999999986</v>
      </c>
      <c r="M17" s="29">
        <f t="shared" ref="M17" si="35">M15-M16</f>
        <v>-116.914</v>
      </c>
      <c r="N17" s="29">
        <f t="shared" ref="N17" si="36">N15-N16</f>
        <v>-179.35099999999989</v>
      </c>
      <c r="O17" s="29">
        <f>O15-O16</f>
        <v>-206.54199999999992</v>
      </c>
      <c r="P17" s="29">
        <f>P15-P16</f>
        <v>-227.85299999999995</v>
      </c>
      <c r="Q17" s="29">
        <f t="shared" ref="Q17" si="37">Q15-Q16</f>
        <v>-224.10899999999998</v>
      </c>
      <c r="R17" s="29">
        <f>R15-R16</f>
        <v>-291.39599999999996</v>
      </c>
      <c r="S17" s="29">
        <f>S15-S16</f>
        <v>-221.62699999999992</v>
      </c>
      <c r="T17" s="29">
        <f>T15-T16</f>
        <v>-322.76899999999995</v>
      </c>
      <c r="U17" s="29">
        <f>U15-U16</f>
        <v>-482.32700000000006</v>
      </c>
      <c r="V17" s="66">
        <f>V15-V16</f>
        <v>-276.27020212532085</v>
      </c>
      <c r="Y17" s="29">
        <f t="shared" ref="Y17:Z17" si="38">Y15-Y16</f>
        <v>-121.94900000000001</v>
      </c>
      <c r="Z17" s="29">
        <f t="shared" si="38"/>
        <v>-307.06299999999993</v>
      </c>
      <c r="AA17" s="29">
        <f>AA15-AA16</f>
        <v>-490.97899999999981</v>
      </c>
      <c r="AB17" s="29">
        <f>AB15-AB16</f>
        <v>-949.90000000000009</v>
      </c>
      <c r="AC17" s="75">
        <f>AC15-AC16</f>
        <v>-1302.9932021253201</v>
      </c>
      <c r="AD17" s="29">
        <f t="shared" ref="AD17:AM17" si="39">AD15-AD16</f>
        <v>-1277.193520810835</v>
      </c>
      <c r="AE17" s="29">
        <f t="shared" si="39"/>
        <v>-1292.7850603299096</v>
      </c>
      <c r="AF17" s="29">
        <f t="shared" si="39"/>
        <v>-804.73182863039517</v>
      </c>
      <c r="AG17" s="29">
        <f t="shared" si="39"/>
        <v>250.11449450198734</v>
      </c>
      <c r="AH17" s="29">
        <f t="shared" si="39"/>
        <v>281.70111880765023</v>
      </c>
      <c r="AI17" s="29">
        <f t="shared" si="39"/>
        <v>1101.451374537914</v>
      </c>
      <c r="AJ17" s="29">
        <f t="shared" si="39"/>
        <v>1941.7939820530169</v>
      </c>
      <c r="AK17" s="29">
        <f t="shared" si="39"/>
        <v>2077.7195607967278</v>
      </c>
      <c r="AL17" s="29">
        <f t="shared" si="39"/>
        <v>2223.1599300525008</v>
      </c>
      <c r="AM17" s="29">
        <f t="shared" si="39"/>
        <v>2378.7811251561757</v>
      </c>
      <c r="AN17" s="30">
        <f>AM17*(1+$AP$24)</f>
        <v>2331.205502653052</v>
      </c>
      <c r="AO17" s="30">
        <f t="shared" ref="AO17:BW17" si="40">AN17*(1+$AP$24)</f>
        <v>2284.581392599991</v>
      </c>
      <c r="AP17" s="30">
        <f t="shared" si="40"/>
        <v>2238.8897647479912</v>
      </c>
      <c r="AQ17" s="30">
        <f t="shared" si="40"/>
        <v>2194.1119694530312</v>
      </c>
      <c r="AR17" s="30">
        <f t="shared" si="40"/>
        <v>2150.2297300639707</v>
      </c>
      <c r="AS17" s="30">
        <f t="shared" si="40"/>
        <v>2107.225135462691</v>
      </c>
      <c r="AT17" s="30">
        <f t="shared" si="40"/>
        <v>2065.0806327534369</v>
      </c>
      <c r="AU17" s="30">
        <f t="shared" si="40"/>
        <v>2023.7790200983682</v>
      </c>
      <c r="AV17" s="30">
        <f t="shared" si="40"/>
        <v>1983.3034396964008</v>
      </c>
      <c r="AW17" s="30">
        <f t="shared" si="40"/>
        <v>1943.6373709024726</v>
      </c>
      <c r="AX17" s="30">
        <f t="shared" si="40"/>
        <v>1904.7646234844231</v>
      </c>
      <c r="AY17" s="30">
        <f t="shared" si="40"/>
        <v>1866.6693310147346</v>
      </c>
      <c r="AZ17" s="30">
        <f t="shared" si="40"/>
        <v>1829.3359443944398</v>
      </c>
      <c r="BA17" s="30">
        <f t="shared" si="40"/>
        <v>1792.7492255065511</v>
      </c>
      <c r="BB17" s="30">
        <f t="shared" si="40"/>
        <v>1756.89424099642</v>
      </c>
      <c r="BC17" s="30">
        <f t="shared" si="40"/>
        <v>1721.7563561764916</v>
      </c>
      <c r="BD17" s="30">
        <f t="shared" si="40"/>
        <v>1687.3212290529618</v>
      </c>
      <c r="BE17" s="30">
        <f t="shared" si="40"/>
        <v>1653.5748044719026</v>
      </c>
      <c r="BF17" s="30">
        <f t="shared" si="40"/>
        <v>1620.5033083824644</v>
      </c>
      <c r="BG17" s="30">
        <f t="shared" si="40"/>
        <v>1588.0932422148151</v>
      </c>
      <c r="BH17" s="30">
        <f t="shared" si="40"/>
        <v>1556.3313773705188</v>
      </c>
      <c r="BI17" s="30">
        <f t="shared" si="40"/>
        <v>1525.2047498231084</v>
      </c>
      <c r="BJ17" s="30">
        <f t="shared" si="40"/>
        <v>1494.7006548266461</v>
      </c>
      <c r="BK17" s="30">
        <f t="shared" si="40"/>
        <v>1464.8066417301131</v>
      </c>
      <c r="BL17" s="30">
        <f t="shared" si="40"/>
        <v>1435.5105088955108</v>
      </c>
      <c r="BM17" s="30">
        <f t="shared" si="40"/>
        <v>1406.8002987176005</v>
      </c>
      <c r="BN17" s="30">
        <f t="shared" si="40"/>
        <v>1378.6642927432486</v>
      </c>
      <c r="BO17" s="30">
        <f t="shared" si="40"/>
        <v>1351.0910068883836</v>
      </c>
      <c r="BP17" s="30">
        <f t="shared" si="40"/>
        <v>1324.0691867506159</v>
      </c>
      <c r="BQ17" s="30">
        <f t="shared" si="40"/>
        <v>1297.5878030156036</v>
      </c>
      <c r="BR17" s="30">
        <f t="shared" si="40"/>
        <v>1271.6360469552915</v>
      </c>
      <c r="BS17" s="30">
        <f t="shared" si="40"/>
        <v>1246.2033260161857</v>
      </c>
      <c r="BT17" s="30">
        <f t="shared" si="40"/>
        <v>1221.2792594958619</v>
      </c>
      <c r="BU17" s="30">
        <f t="shared" si="40"/>
        <v>1196.8536743059447</v>
      </c>
      <c r="BV17" s="30">
        <f t="shared" si="40"/>
        <v>1172.9166008198258</v>
      </c>
      <c r="BW17" s="30">
        <f t="shared" si="40"/>
        <v>1149.4582688034293</v>
      </c>
    </row>
    <row r="18" spans="2:75" x14ac:dyDescent="0.2">
      <c r="B18" s="1" t="s">
        <v>69</v>
      </c>
      <c r="F18" s="28">
        <f t="shared" ref="F18" si="41">F17/F19</f>
        <v>-0.47434110160515558</v>
      </c>
      <c r="J18" s="28">
        <f t="shared" ref="J18" si="42">J17/J19</f>
        <v>-0.65525253589708876</v>
      </c>
      <c r="M18" s="28">
        <f t="shared" ref="M18:U18" si="43">M17/M19</f>
        <v>-0.79263151132966325</v>
      </c>
      <c r="N18" s="28">
        <f t="shared" si="43"/>
        <v>-1.1323903265248076</v>
      </c>
      <c r="O18" s="28">
        <f t="shared" si="43"/>
        <v>-1.2355912544819656</v>
      </c>
      <c r="P18" s="28">
        <f t="shared" si="43"/>
        <v>-1.3139765974420505</v>
      </c>
      <c r="Q18" s="28">
        <f t="shared" si="43"/>
        <v>-1.2645002263567628</v>
      </c>
      <c r="R18" s="28">
        <f t="shared" si="43"/>
        <v>-1.628504773126946</v>
      </c>
      <c r="S18" s="28">
        <f t="shared" si="43"/>
        <v>-1.2251441501410789</v>
      </c>
      <c r="T18" s="28">
        <f t="shared" si="43"/>
        <v>-1.7700728317826633</v>
      </c>
      <c r="U18" s="28">
        <f t="shared" si="43"/>
        <v>-2.6257295858747991</v>
      </c>
      <c r="V18" s="78">
        <f>V17/V19</f>
        <v>-1.5039814138873953</v>
      </c>
      <c r="Y18" s="44">
        <f t="shared" ref="Y18:Z18" si="44">Y17/Y19</f>
        <v>-1.2555191431999431</v>
      </c>
      <c r="Z18" s="44">
        <f t="shared" si="44"/>
        <v>-2.3605151435337697</v>
      </c>
      <c r="AA18" s="44">
        <f>AA17/AA19</f>
        <v>-3.3466258226346173</v>
      </c>
      <c r="AB18" s="44">
        <f>AB17/AB19</f>
        <v>-5.4535392358724044</v>
      </c>
      <c r="AC18" s="81">
        <f>AC17/AC19</f>
        <v>-7.0933366803313822</v>
      </c>
      <c r="AD18" s="44">
        <f t="shared" ref="AD18:AM18" si="45">AD17/AD19</f>
        <v>-6.9528863498842286</v>
      </c>
      <c r="AE18" s="44">
        <f t="shared" si="45"/>
        <v>-7.037764796673585</v>
      </c>
      <c r="AF18" s="44">
        <f t="shared" si="45"/>
        <v>-4.3808623011565953</v>
      </c>
      <c r="AG18" s="44">
        <f t="shared" si="45"/>
        <v>1.3615929194716196</v>
      </c>
      <c r="AH18" s="44">
        <f t="shared" si="45"/>
        <v>1.5335466644564351</v>
      </c>
      <c r="AI18" s="44">
        <f t="shared" si="45"/>
        <v>5.9961674580246704</v>
      </c>
      <c r="AJ18" s="44">
        <f t="shared" si="45"/>
        <v>10.570890512764668</v>
      </c>
      <c r="AK18" s="44">
        <f t="shared" si="45"/>
        <v>11.310852848658195</v>
      </c>
      <c r="AL18" s="44">
        <f t="shared" si="45"/>
        <v>12.102612548064279</v>
      </c>
      <c r="AM18" s="44">
        <f t="shared" si="45"/>
        <v>12.949795426428778</v>
      </c>
    </row>
    <row r="19" spans="2:75" x14ac:dyDescent="0.2">
      <c r="B19" s="1" t="s">
        <v>4</v>
      </c>
      <c r="F19" s="44">
        <v>99.417907999999997</v>
      </c>
      <c r="G19" s="44"/>
      <c r="H19" s="44"/>
      <c r="I19" s="44"/>
      <c r="J19" s="44">
        <v>137.728578</v>
      </c>
      <c r="M19" s="44">
        <v>147.50107499999999</v>
      </c>
      <c r="N19" s="44">
        <v>158.382667</v>
      </c>
      <c r="O19" s="28">
        <v>167.16045800000001</v>
      </c>
      <c r="P19" s="28">
        <v>173.40719799999999</v>
      </c>
      <c r="Q19" s="44">
        <v>177.23128500000001</v>
      </c>
      <c r="R19" s="28">
        <v>178.93469200000001</v>
      </c>
      <c r="S19" s="28">
        <v>180.89871299999999</v>
      </c>
      <c r="T19" s="28">
        <v>182.34786399999999</v>
      </c>
      <c r="U19" s="28">
        <v>183.692564</v>
      </c>
      <c r="V19" s="77">
        <f>U19</f>
        <v>183.692564</v>
      </c>
      <c r="Y19" s="44">
        <v>97.130339000000006</v>
      </c>
      <c r="Z19" s="44">
        <v>130.083046</v>
      </c>
      <c r="AA19" s="44">
        <v>146.708663</v>
      </c>
      <c r="AB19" s="44">
        <v>174.180465</v>
      </c>
      <c r="AC19" s="80">
        <f>V19</f>
        <v>183.692564</v>
      </c>
      <c r="AD19" s="36">
        <f>AC19</f>
        <v>183.692564</v>
      </c>
      <c r="AE19" s="36">
        <f t="shared" ref="AE19:AM19" si="46">AD19</f>
        <v>183.692564</v>
      </c>
      <c r="AF19" s="36">
        <f t="shared" si="46"/>
        <v>183.692564</v>
      </c>
      <c r="AG19" s="36">
        <f t="shared" si="46"/>
        <v>183.692564</v>
      </c>
      <c r="AH19" s="36">
        <f t="shared" si="46"/>
        <v>183.692564</v>
      </c>
      <c r="AI19" s="36">
        <f t="shared" si="46"/>
        <v>183.692564</v>
      </c>
      <c r="AJ19" s="36">
        <f t="shared" si="46"/>
        <v>183.692564</v>
      </c>
      <c r="AK19" s="36">
        <f t="shared" si="46"/>
        <v>183.692564</v>
      </c>
      <c r="AL19" s="36">
        <f t="shared" si="46"/>
        <v>183.692564</v>
      </c>
      <c r="AM19" s="36">
        <f t="shared" si="46"/>
        <v>183.692564</v>
      </c>
    </row>
    <row r="21" spans="2:75" s="2" customFormat="1" x14ac:dyDescent="0.2">
      <c r="B21" s="2" t="s">
        <v>71</v>
      </c>
      <c r="J21" s="32">
        <f>J4/F4-1</f>
        <v>0.62124697751368063</v>
      </c>
      <c r="N21" s="32">
        <f>N4/J4-1</f>
        <v>0.65474120232833388</v>
      </c>
      <c r="Q21" s="32">
        <f>Q4/M4-1</f>
        <v>0.65229290419649577</v>
      </c>
      <c r="R21" s="32">
        <f>R4/N4-1</f>
        <v>0.53760148880658276</v>
      </c>
      <c r="S21" s="32">
        <f>S4/O4-1</f>
        <v>0.4836962785683776</v>
      </c>
      <c r="T21" s="32">
        <f>T4/P4-1</f>
        <v>0.41024111604933844</v>
      </c>
      <c r="U21" s="32">
        <f t="shared" ref="U21" si="47">U4/Q4-1</f>
        <v>0.32810304576208882</v>
      </c>
      <c r="V21" s="66"/>
      <c r="Z21" s="32">
        <f>Z4/Y4-1</f>
        <v>0.74515549935622039</v>
      </c>
      <c r="AA21" s="32">
        <f>AA4/Z4-1</f>
        <v>0.55295345483521796</v>
      </c>
      <c r="AB21" s="32">
        <f>AB4/AA4-1</f>
        <v>0.613053532344634</v>
      </c>
      <c r="AC21" s="76">
        <f>AC4/AB4-1</f>
        <v>0.34635414278080301</v>
      </c>
      <c r="AD21" s="88">
        <v>0.35</v>
      </c>
      <c r="AE21" s="88">
        <v>0.3</v>
      </c>
      <c r="AF21" s="88">
        <v>0.28000000000000003</v>
      </c>
      <c r="AG21" s="88">
        <v>0.2</v>
      </c>
      <c r="AH21" s="88">
        <v>0.15</v>
      </c>
      <c r="AI21" s="88">
        <v>0.15</v>
      </c>
      <c r="AJ21" s="88">
        <v>0.11</v>
      </c>
      <c r="AK21" s="88">
        <v>7.0000000000000007E-2</v>
      </c>
      <c r="AL21" s="88">
        <v>7.0000000000000007E-2</v>
      </c>
      <c r="AM21" s="88">
        <v>7.0000000000000007E-2</v>
      </c>
    </row>
    <row r="22" spans="2:75" x14ac:dyDescent="0.2">
      <c r="B22" s="1" t="s">
        <v>72</v>
      </c>
      <c r="N22" s="31">
        <f t="shared" ref="N22:T22" si="48">N4/M4-1</f>
        <v>0.22349984039074133</v>
      </c>
      <c r="O22" s="31">
        <f t="shared" si="48"/>
        <v>7.6443649765549404E-2</v>
      </c>
      <c r="P22" s="31">
        <f t="shared" si="48"/>
        <v>0.13380441636101059</v>
      </c>
      <c r="Q22" s="31">
        <f t="shared" si="48"/>
        <v>0.10650575320922484</v>
      </c>
      <c r="R22" s="31">
        <f t="shared" si="48"/>
        <v>0.13857244763407617</v>
      </c>
      <c r="S22" s="31">
        <f t="shared" si="48"/>
        <v>3.8705704223346515E-2</v>
      </c>
      <c r="T22" s="31">
        <f t="shared" si="48"/>
        <v>7.7671777308385259E-2</v>
      </c>
      <c r="U22" s="31">
        <f t="shared" ref="U22" si="49">U4/T4-1</f>
        <v>4.2058442535887863E-2</v>
      </c>
      <c r="V22" s="74">
        <f>U22</f>
        <v>4.2058442535887863E-2</v>
      </c>
      <c r="Y22" s="45" t="s">
        <v>1715</v>
      </c>
      <c r="Z22" s="45" t="s">
        <v>1715</v>
      </c>
      <c r="AA22" s="45" t="s">
        <v>1715</v>
      </c>
      <c r="AB22" s="45" t="s">
        <v>1715</v>
      </c>
      <c r="AC22" s="83" t="s">
        <v>1715</v>
      </c>
      <c r="AD22" s="89" t="s">
        <v>1715</v>
      </c>
      <c r="AE22" s="89" t="s">
        <v>1715</v>
      </c>
      <c r="AF22" s="89" t="s">
        <v>1715</v>
      </c>
      <c r="AG22" s="89" t="s">
        <v>1715</v>
      </c>
      <c r="AH22" s="89" t="s">
        <v>1715</v>
      </c>
      <c r="AI22" s="89" t="s">
        <v>1715</v>
      </c>
      <c r="AJ22" s="89" t="s">
        <v>1715</v>
      </c>
      <c r="AK22" s="89" t="s">
        <v>1715</v>
      </c>
      <c r="AL22" s="89" t="s">
        <v>1715</v>
      </c>
      <c r="AM22" s="89" t="s">
        <v>1715</v>
      </c>
    </row>
    <row r="24" spans="2:75" x14ac:dyDescent="0.2">
      <c r="B24" s="1" t="s">
        <v>73</v>
      </c>
      <c r="F24" s="31">
        <f>F6/F4</f>
        <v>0.52869771221035522</v>
      </c>
      <c r="J24" s="31">
        <f>J6/J4</f>
        <v>0.52740743424389536</v>
      </c>
      <c r="M24" s="31">
        <f t="shared" ref="M24:T24" si="50">M6/M4</f>
        <v>0.51537941241469831</v>
      </c>
      <c r="N24" s="31">
        <f t="shared" si="50"/>
        <v>0.51473480632742796</v>
      </c>
      <c r="O24" s="31">
        <f t="shared" si="50"/>
        <v>0.50561028359898841</v>
      </c>
      <c r="P24" s="31">
        <f t="shared" si="50"/>
        <v>0.49518859194745046</v>
      </c>
      <c r="Q24" s="31">
        <f t="shared" si="50"/>
        <v>0.49260581267158088</v>
      </c>
      <c r="R24" s="31">
        <f t="shared" si="50"/>
        <v>0.47054265589550326</v>
      </c>
      <c r="S24" s="31">
        <f t="shared" si="50"/>
        <v>0.48559397644177338</v>
      </c>
      <c r="T24" s="31">
        <f t="shared" si="50"/>
        <v>0.47202746794946543</v>
      </c>
      <c r="U24" s="31">
        <f t="shared" ref="U24" si="51">U6/U4</f>
        <v>0.47005177868427206</v>
      </c>
      <c r="V24" s="74">
        <f>U24</f>
        <v>0.47005177868427206</v>
      </c>
      <c r="Y24" s="31">
        <f>Y6/Y4</f>
        <v>0.53721539472085189</v>
      </c>
      <c r="Z24" s="31">
        <f>Z6/Z4</f>
        <v>0.53674233208869704</v>
      </c>
      <c r="AA24" s="31">
        <f>AA6/AA4</f>
        <v>0.51973746946263322</v>
      </c>
      <c r="AB24" s="31">
        <f>AB6/AB4</f>
        <v>0.48937079123764576</v>
      </c>
      <c r="AC24" s="79">
        <f>AC6/AC4</f>
        <v>0.49013092047085383</v>
      </c>
      <c r="AD24" s="42">
        <v>0.5</v>
      </c>
      <c r="AE24" s="42">
        <v>0.5</v>
      </c>
      <c r="AF24" s="42">
        <v>0.53</v>
      </c>
      <c r="AG24" s="42">
        <v>0.55000000000000004</v>
      </c>
      <c r="AH24" s="42">
        <v>0.55000000000000004</v>
      </c>
      <c r="AI24" s="42">
        <v>0.55000000000000004</v>
      </c>
      <c r="AJ24" s="42">
        <v>0.55000000000000004</v>
      </c>
      <c r="AK24" s="42">
        <v>0.55000000000000004</v>
      </c>
      <c r="AL24" s="42">
        <v>0.55000000000000004</v>
      </c>
      <c r="AM24" s="42">
        <v>0.55000000000000004</v>
      </c>
      <c r="AO24" s="90" t="s">
        <v>1725</v>
      </c>
      <c r="AP24" s="91">
        <v>-0.02</v>
      </c>
    </row>
    <row r="25" spans="2:75" x14ac:dyDescent="0.2">
      <c r="B25" s="1" t="s">
        <v>74</v>
      </c>
      <c r="F25" s="31">
        <f>F13/F4</f>
        <v>-0.21530381494062717</v>
      </c>
      <c r="J25" s="31">
        <f>J13/J4</f>
        <v>-0.28318902011931496</v>
      </c>
      <c r="M25" s="31">
        <f t="shared" ref="M25:T25" si="52">M13/M4</f>
        <v>-0.25062002058178134</v>
      </c>
      <c r="N25" s="31">
        <f t="shared" si="52"/>
        <v>-0.33806674086372651</v>
      </c>
      <c r="O25" s="31">
        <f t="shared" si="52"/>
        <v>-0.33447968433256259</v>
      </c>
      <c r="P25" s="31">
        <f t="shared" si="52"/>
        <v>-0.30238395290396158</v>
      </c>
      <c r="Q25" s="31">
        <f t="shared" si="52"/>
        <v>-0.3139050712263029</v>
      </c>
      <c r="R25" s="31">
        <f t="shared" si="52"/>
        <v>-0.33655060136886167</v>
      </c>
      <c r="S25" s="31">
        <f t="shared" si="52"/>
        <v>-0.24882020373262284</v>
      </c>
      <c r="T25" s="31">
        <f t="shared" si="52"/>
        <v>-0.33066696065315881</v>
      </c>
      <c r="U25" s="31">
        <f t="shared" ref="U25:V25" si="53">U13/U4</f>
        <v>-0.46488611741249003</v>
      </c>
      <c r="V25" s="74">
        <f t="shared" si="53"/>
        <v>-0.25658272390663611</v>
      </c>
      <c r="Y25" s="31">
        <f>Y13/Y4</f>
        <v>-0.17726634331538135</v>
      </c>
      <c r="Z25" s="31">
        <f>Z13/Z4</f>
        <v>-0.32595454433267396</v>
      </c>
      <c r="AA25" s="31">
        <f>AA13/AA4</f>
        <v>-0.27977506788604217</v>
      </c>
      <c r="AB25" s="31">
        <f>AB13/AB4</f>
        <v>-0.32218010942914083</v>
      </c>
      <c r="AC25" s="79">
        <f>AC13/AC4</f>
        <v>-0.32659124514343774</v>
      </c>
      <c r="AD25" s="31">
        <f t="shared" ref="AD25:AM25" si="54">AD13/AD4</f>
        <v>-0.24705910324479791</v>
      </c>
      <c r="AE25" s="31">
        <f t="shared" si="54"/>
        <v>-0.19500000000000003</v>
      </c>
      <c r="AF25" s="31">
        <f t="shared" si="54"/>
        <v>-9.5000000000000057E-2</v>
      </c>
      <c r="AG25" s="31">
        <f t="shared" si="54"/>
        <v>2.4999999999999977E-2</v>
      </c>
      <c r="AH25" s="31">
        <f t="shared" si="54"/>
        <v>2.4999999999999942E-2</v>
      </c>
      <c r="AI25" s="31">
        <f t="shared" si="54"/>
        <v>8.4999999999999923E-2</v>
      </c>
      <c r="AJ25" s="31">
        <f t="shared" si="54"/>
        <v>0.1349999999999999</v>
      </c>
      <c r="AK25" s="31">
        <f t="shared" si="54"/>
        <v>0.13499999999999987</v>
      </c>
      <c r="AL25" s="31">
        <f t="shared" si="54"/>
        <v>0.13499999999999998</v>
      </c>
      <c r="AM25" s="31">
        <f t="shared" si="54"/>
        <v>0.13499999999999995</v>
      </c>
      <c r="AO25" s="92" t="s">
        <v>1726</v>
      </c>
      <c r="AP25" s="93">
        <v>0.08</v>
      </c>
    </row>
    <row r="26" spans="2:75" x14ac:dyDescent="0.2">
      <c r="B26" s="1" t="s">
        <v>75</v>
      </c>
      <c r="F26" s="31">
        <f>F17/F4</f>
        <v>-0.23082495521336066</v>
      </c>
      <c r="J26" s="31">
        <f>J17/J4</f>
        <v>-0.27246515952950268</v>
      </c>
      <c r="M26" s="31">
        <f t="shared" ref="M26:T26" si="55">M17/M4</f>
        <v>-0.26098680935511165</v>
      </c>
      <c r="N26" s="31">
        <f t="shared" si="55"/>
        <v>-0.3272291047090804</v>
      </c>
      <c r="O26" s="31">
        <f t="shared" si="55"/>
        <v>-0.35007830667742379</v>
      </c>
      <c r="P26" s="31">
        <f t="shared" si="55"/>
        <v>-0.34062257542257712</v>
      </c>
      <c r="Q26" s="31">
        <f t="shared" si="55"/>
        <v>-0.30277798793800387</v>
      </c>
      <c r="R26" s="31">
        <f t="shared" si="55"/>
        <v>-0.34577048308857727</v>
      </c>
      <c r="S26" s="31">
        <f t="shared" si="55"/>
        <v>-0.25318296523842099</v>
      </c>
      <c r="T26" s="31">
        <f t="shared" si="55"/>
        <v>-0.34215045465435023</v>
      </c>
      <c r="U26" s="31">
        <f t="shared" ref="U26:V26" si="56">U17/U4</f>
        <v>-0.49065338799426272</v>
      </c>
      <c r="V26" s="74">
        <f t="shared" si="56"/>
        <v>-0.26969642965777518</v>
      </c>
      <c r="Y26" s="31">
        <f>Y17/Y4</f>
        <v>-0.18759450948902193</v>
      </c>
      <c r="Z26" s="31">
        <f>Z17/Z4</f>
        <v>-0.27066695578896882</v>
      </c>
      <c r="AA26" s="31">
        <f>AA17/AA4</f>
        <v>-0.27868412329376707</v>
      </c>
      <c r="AB26" s="31">
        <f>AB17/AB4</f>
        <v>-0.33425538885207784</v>
      </c>
      <c r="AC26" s="79">
        <f>AC17/AC4</f>
        <v>-0.34055194806242556</v>
      </c>
      <c r="AD26" s="31">
        <f t="shared" ref="AD26:AM26" si="57">AD17/AD4</f>
        <v>-0.24726585984251753</v>
      </c>
      <c r="AE26" s="31">
        <f t="shared" si="57"/>
        <v>-0.19252645882458369</v>
      </c>
      <c r="AF26" s="31">
        <f t="shared" si="57"/>
        <v>-9.3627905331005942E-2</v>
      </c>
      <c r="AG26" s="31">
        <f t="shared" si="57"/>
        <v>2.424999999999998E-2</v>
      </c>
      <c r="AH26" s="31">
        <f t="shared" si="57"/>
        <v>2.3749999999999945E-2</v>
      </c>
      <c r="AI26" s="31">
        <f t="shared" si="57"/>
        <v>8.0749999999999933E-2</v>
      </c>
      <c r="AJ26" s="31">
        <f t="shared" si="57"/>
        <v>0.12824999999999989</v>
      </c>
      <c r="AK26" s="31">
        <f t="shared" si="57"/>
        <v>0.12824999999999986</v>
      </c>
      <c r="AL26" s="31">
        <f t="shared" si="57"/>
        <v>0.12824999999999998</v>
      </c>
      <c r="AM26" s="31">
        <f t="shared" si="57"/>
        <v>0.12824999999999995</v>
      </c>
      <c r="AO26" s="92" t="s">
        <v>1727</v>
      </c>
      <c r="AP26" s="94">
        <f>NPV(AP25,Y17:BW17)</f>
        <v>6551.54204468635</v>
      </c>
    </row>
    <row r="27" spans="2:75" x14ac:dyDescent="0.2">
      <c r="B27" s="1" t="s">
        <v>68</v>
      </c>
      <c r="F27" s="31">
        <f t="shared" ref="F27" si="58">F16/F15</f>
        <v>-8.9862638538234403E-3</v>
      </c>
      <c r="J27" s="31">
        <f t="shared" ref="J27" si="59">J16/J15</f>
        <v>-1.297549696377861E-2</v>
      </c>
      <c r="M27" s="31">
        <f t="shared" ref="M27" si="60">M16/M15</f>
        <v>-5.5734264531333323E-3</v>
      </c>
      <c r="N27" s="31">
        <f t="shared" ref="N27:O27" si="61">N16/N15</f>
        <v>7.891452723696446E-2</v>
      </c>
      <c r="O27" s="31">
        <f t="shared" si="61"/>
        <v>-4.3276992200416255E-3</v>
      </c>
      <c r="P27" s="31">
        <f>P16/P15</f>
        <v>-5.6760251934306425E-3</v>
      </c>
      <c r="Q27" s="31">
        <f t="shared" ref="Q27" si="62">Q16/Q15</f>
        <v>6.2140627223194043E-2</v>
      </c>
      <c r="R27" s="31">
        <f t="shared" ref="R27:S27" si="63">R16/R15</f>
        <v>-5.6738176095419536E-3</v>
      </c>
      <c r="S27" s="31">
        <f t="shared" si="63"/>
        <v>1.2731362897298265E-2</v>
      </c>
      <c r="T27" s="31">
        <f>T16/T15</f>
        <v>-8.1018193175607101E-3</v>
      </c>
      <c r="U27" s="31">
        <f t="shared" ref="U27" si="64">U16/U15</f>
        <v>-7.4778536471246807E-3</v>
      </c>
      <c r="V27" s="74">
        <v>-0.01</v>
      </c>
      <c r="Y27" s="31">
        <f t="shared" ref="Y27:AA27" si="65">Y16/Y15</f>
        <v>-6.5286650489443532E-3</v>
      </c>
      <c r="Z27" s="31">
        <f t="shared" si="65"/>
        <v>0.15226549903924733</v>
      </c>
      <c r="AA27" s="31">
        <f t="shared" si="65"/>
        <v>2.6658023178821082E-2</v>
      </c>
      <c r="AB27" s="31">
        <f>AB16/AB15</f>
        <v>1.1477434857309956E-2</v>
      </c>
      <c r="AC27" s="79">
        <f>AC16/AC15</f>
        <v>-4.6658595519502351E-3</v>
      </c>
      <c r="AD27" s="42">
        <v>1.4999999999999999E-2</v>
      </c>
      <c r="AE27" s="42">
        <v>1.4999999999999999E-2</v>
      </c>
      <c r="AF27" s="42">
        <v>1.4999999999999999E-2</v>
      </c>
      <c r="AG27" s="42">
        <v>0.03</v>
      </c>
      <c r="AH27" s="42">
        <v>0.05</v>
      </c>
      <c r="AI27" s="42">
        <v>0.05</v>
      </c>
      <c r="AJ27" s="42">
        <v>0.05</v>
      </c>
      <c r="AK27" s="42">
        <v>0.05</v>
      </c>
      <c r="AL27" s="42">
        <v>0.05</v>
      </c>
      <c r="AM27" s="42">
        <v>0.05</v>
      </c>
      <c r="AO27" s="92" t="s">
        <v>8</v>
      </c>
      <c r="AP27" s="94">
        <f>Main!C11</f>
        <v>3196.7179999999998</v>
      </c>
    </row>
    <row r="28" spans="2:75" x14ac:dyDescent="0.2">
      <c r="AC28" s="79"/>
      <c r="AO28" s="92" t="s">
        <v>1728</v>
      </c>
      <c r="AP28" s="94">
        <f>AP26+AP27</f>
        <v>9748.2600446863507</v>
      </c>
    </row>
    <row r="29" spans="2:75" x14ac:dyDescent="0.2">
      <c r="B29" s="1" t="s">
        <v>77</v>
      </c>
      <c r="J29" s="31">
        <f>J7/F7-1</f>
        <v>1.1350738897174177</v>
      </c>
      <c r="N29" s="31">
        <f>N7/J7-1</f>
        <v>0.44105373925033553</v>
      </c>
      <c r="Q29" s="31">
        <f>Q7/M7-1</f>
        <v>0.5359453209612739</v>
      </c>
      <c r="R29" s="31">
        <f>R7/N7-1</f>
        <v>0.40535453492471163</v>
      </c>
      <c r="S29" s="31">
        <f>S7/O7-1</f>
        <v>0.37649313501144155</v>
      </c>
      <c r="T29" s="31">
        <f>T7/P7-1</f>
        <v>0.54259157105030908</v>
      </c>
      <c r="U29" s="31">
        <f t="shared" ref="U29:V29" si="66">U7/Q7-1</f>
        <v>0.35659154795369008</v>
      </c>
      <c r="V29" s="74">
        <f t="shared" si="66"/>
        <v>0.28477582884803554</v>
      </c>
      <c r="Y29" s="45" t="s">
        <v>1715</v>
      </c>
      <c r="Z29" s="31">
        <f>Z7/Y7-1</f>
        <v>1.283844349257111</v>
      </c>
      <c r="AA29" s="31">
        <f>AA7/Z7-1</f>
        <v>0.35566940501590616</v>
      </c>
      <c r="AB29" s="31">
        <f>AB7/AA7-1</f>
        <v>0.48755437773773536</v>
      </c>
      <c r="AC29" s="79">
        <f>AC7/AB7-1</f>
        <v>0.38340805152244806</v>
      </c>
      <c r="AD29" s="42">
        <f t="shared" ref="AD29:AM29" si="67">AD7/AC7-1</f>
        <v>0.32465489841420925</v>
      </c>
      <c r="AE29" s="42">
        <f t="shared" si="67"/>
        <v>6.7857142857142838E-2</v>
      </c>
      <c r="AF29" s="42">
        <f t="shared" si="67"/>
        <v>1.7391304347824654E-3</v>
      </c>
      <c r="AG29" s="42">
        <f t="shared" si="67"/>
        <v>-0.13333333333333341</v>
      </c>
      <c r="AH29" s="42">
        <f t="shared" si="67"/>
        <v>0.14999999999999991</v>
      </c>
      <c r="AI29" s="42">
        <f t="shared" si="67"/>
        <v>0.15000000000000013</v>
      </c>
      <c r="AJ29" s="42">
        <f t="shared" si="67"/>
        <v>-0.31692307692307697</v>
      </c>
      <c r="AK29" s="42">
        <f t="shared" si="67"/>
        <v>7.0000000000000284E-2</v>
      </c>
      <c r="AL29" s="42">
        <f t="shared" si="67"/>
        <v>7.0000000000000062E-2</v>
      </c>
      <c r="AM29" s="42">
        <f t="shared" si="67"/>
        <v>7.0000000000000062E-2</v>
      </c>
      <c r="AO29" s="95" t="s">
        <v>1729</v>
      </c>
      <c r="AP29" s="98">
        <f>AP28/Main!C7</f>
        <v>53.068343281910693</v>
      </c>
      <c r="AQ29" s="30">
        <f>AP29*Main!C7</f>
        <v>9748.2600446863507</v>
      </c>
    </row>
    <row r="30" spans="2:75" s="35" customFormat="1" x14ac:dyDescent="0.2">
      <c r="B30" s="35" t="s">
        <v>78</v>
      </c>
      <c r="N30" s="42">
        <f t="shared" ref="N30:T30" si="68">N7/M7-1</f>
        <v>0.16248573017592149</v>
      </c>
      <c r="O30" s="42">
        <f t="shared" si="68"/>
        <v>0.10036762854409043</v>
      </c>
      <c r="P30" s="42">
        <f t="shared" si="68"/>
        <v>3.7070938215102878E-2</v>
      </c>
      <c r="Q30" s="42">
        <f t="shared" si="68"/>
        <v>0.15782215357458074</v>
      </c>
      <c r="R30" s="42">
        <f t="shared" si="68"/>
        <v>6.3647624946400638E-2</v>
      </c>
      <c r="S30" s="42">
        <f t="shared" si="68"/>
        <v>7.7769665261658405E-2</v>
      </c>
      <c r="T30" s="42">
        <f t="shared" si="68"/>
        <v>0.16221203519373617</v>
      </c>
      <c r="U30" s="42">
        <f t="shared" ref="U30:V30" si="69">U7/T7-1</f>
        <v>1.8216212930149744E-2</v>
      </c>
      <c r="V30" s="79">
        <f t="shared" si="69"/>
        <v>7.3398739687606795E-3</v>
      </c>
      <c r="Y30" s="45" t="s">
        <v>1715</v>
      </c>
      <c r="Z30" s="45" t="s">
        <v>1715</v>
      </c>
      <c r="AA30" s="45" t="s">
        <v>1715</v>
      </c>
      <c r="AB30" s="45" t="s">
        <v>1715</v>
      </c>
      <c r="AC30" s="82" t="s">
        <v>1715</v>
      </c>
      <c r="AO30" s="92" t="s">
        <v>1730</v>
      </c>
      <c r="AP30" s="96">
        <f>Main!C6</f>
        <v>49.02</v>
      </c>
    </row>
    <row r="31" spans="2:75" x14ac:dyDescent="0.2">
      <c r="AO31" s="97" t="s">
        <v>1731</v>
      </c>
      <c r="AP31" s="99">
        <f>AP29/AP30-1</f>
        <v>8.2585542266639944E-2</v>
      </c>
    </row>
    <row r="32" spans="2:75" x14ac:dyDescent="0.2">
      <c r="B32" s="34" t="s">
        <v>1709</v>
      </c>
    </row>
    <row r="33" spans="2:39" x14ac:dyDescent="0.2">
      <c r="B33" s="1" t="s">
        <v>1710</v>
      </c>
      <c r="F33" s="40">
        <v>64286</v>
      </c>
      <c r="J33" s="40">
        <v>179000</v>
      </c>
      <c r="M33" s="40">
        <v>208000</v>
      </c>
      <c r="N33" s="40">
        <v>221000</v>
      </c>
      <c r="O33" s="40">
        <v>235000</v>
      </c>
      <c r="P33" s="40">
        <v>240000</v>
      </c>
      <c r="Q33" s="40">
        <v>250000</v>
      </c>
      <c r="R33" s="40">
        <v>256000</v>
      </c>
      <c r="S33" s="40">
        <v>268000</v>
      </c>
      <c r="T33" s="40">
        <v>275000</v>
      </c>
      <c r="U33" s="40">
        <v>280000</v>
      </c>
      <c r="Y33" s="40">
        <f>F33</f>
        <v>64286</v>
      </c>
      <c r="Z33" s="40">
        <f>J33</f>
        <v>179000</v>
      </c>
      <c r="AA33" s="40">
        <f>N33</f>
        <v>221000</v>
      </c>
      <c r="AB33" s="40">
        <f>R33</f>
        <v>256000</v>
      </c>
    </row>
    <row r="34" spans="2:39" s="35" customFormat="1" x14ac:dyDescent="0.2">
      <c r="B34" s="39" t="s">
        <v>1714</v>
      </c>
      <c r="J34" s="42">
        <f t="shared" ref="J34" si="70">J33/F33-1</f>
        <v>1.7844320691908035</v>
      </c>
      <c r="N34" s="42">
        <f t="shared" ref="N34" si="71">N33/J33-1</f>
        <v>0.23463687150837997</v>
      </c>
      <c r="P34" s="41"/>
      <c r="Q34" s="42">
        <f t="shared" ref="Q34" si="72">Q33/M33-1</f>
        <v>0.20192307692307687</v>
      </c>
      <c r="R34" s="42">
        <f>R33/N33-1</f>
        <v>0.158371040723982</v>
      </c>
      <c r="S34" s="42">
        <f>S33/O33-1</f>
        <v>0.14042553191489371</v>
      </c>
      <c r="T34" s="42">
        <f>T33/P33-1</f>
        <v>0.14583333333333326</v>
      </c>
      <c r="U34" s="42">
        <f t="shared" ref="U34" si="73">U33/Q33-1</f>
        <v>0.12000000000000011</v>
      </c>
      <c r="V34" s="68"/>
      <c r="Z34" s="42">
        <f t="shared" ref="Z34:AA34" si="74">Z33/Y33-1</f>
        <v>1.7844320691908035</v>
      </c>
      <c r="AA34" s="42">
        <f t="shared" si="74"/>
        <v>0.23463687150837997</v>
      </c>
      <c r="AB34" s="42">
        <f>AB33/AA33-1</f>
        <v>0.158371040723982</v>
      </c>
      <c r="AC34" s="68"/>
    </row>
    <row r="35" spans="2:39" s="35" customFormat="1" x14ac:dyDescent="0.2">
      <c r="B35" s="39" t="s">
        <v>1713</v>
      </c>
      <c r="N35" s="42">
        <f t="shared" ref="N35:Q35" si="75">N33/M33-1</f>
        <v>6.25E-2</v>
      </c>
      <c r="O35" s="42">
        <f t="shared" si="75"/>
        <v>6.3348416289592757E-2</v>
      </c>
      <c r="P35" s="42">
        <f t="shared" si="75"/>
        <v>2.1276595744680771E-2</v>
      </c>
      <c r="Q35" s="42">
        <f t="shared" si="75"/>
        <v>4.1666666666666741E-2</v>
      </c>
      <c r="R35" s="42">
        <f t="shared" ref="R35:S35" si="76">R33/Q33-1</f>
        <v>2.4000000000000021E-2</v>
      </c>
      <c r="S35" s="42">
        <f t="shared" si="76"/>
        <v>4.6875E-2</v>
      </c>
      <c r="T35" s="42">
        <f>T33/S33-1</f>
        <v>2.6119402985074647E-2</v>
      </c>
      <c r="U35" s="42">
        <f t="shared" ref="U35" si="77">U33/T33-1</f>
        <v>1.8181818181818077E-2</v>
      </c>
      <c r="V35" s="68"/>
      <c r="Y35" s="45" t="s">
        <v>1715</v>
      </c>
      <c r="Z35" s="45" t="s">
        <v>1715</v>
      </c>
      <c r="AA35" s="45" t="s">
        <v>1715</v>
      </c>
      <c r="AB35" s="45" t="s">
        <v>1715</v>
      </c>
      <c r="AC35" s="68"/>
    </row>
    <row r="36" spans="2:39" x14ac:dyDescent="0.2">
      <c r="B36" s="1" t="s">
        <v>1711</v>
      </c>
      <c r="F36" s="40">
        <v>1440</v>
      </c>
      <c r="G36" s="40"/>
      <c r="H36" s="40"/>
      <c r="I36" s="40"/>
      <c r="J36" s="40">
        <v>2905</v>
      </c>
      <c r="N36" s="40">
        <v>4629</v>
      </c>
      <c r="Q36" s="40">
        <v>7381</v>
      </c>
      <c r="R36" s="40">
        <v>7867</v>
      </c>
      <c r="S36" s="40">
        <v>8199</v>
      </c>
      <c r="T36" s="40">
        <v>8510</v>
      </c>
      <c r="U36" s="40">
        <v>8992</v>
      </c>
      <c r="V36" s="73"/>
      <c r="Y36" s="40">
        <v>1440</v>
      </c>
      <c r="Z36" s="40">
        <v>2905</v>
      </c>
      <c r="AA36" s="40">
        <v>4629</v>
      </c>
      <c r="AB36" s="40">
        <f>R36</f>
        <v>7867</v>
      </c>
    </row>
    <row r="37" spans="2:39" s="35" customFormat="1" x14ac:dyDescent="0.2">
      <c r="B37" s="39" t="s">
        <v>1712</v>
      </c>
      <c r="F37" s="43">
        <f>F4/F36</f>
        <v>0.14187638888888887</v>
      </c>
      <c r="J37" s="43">
        <f>J4/J36</f>
        <v>0.11401858864027538</v>
      </c>
      <c r="N37" s="43">
        <f>N4/N36</f>
        <v>0.11840354288183194</v>
      </c>
      <c r="P37" s="43"/>
      <c r="Q37" s="43">
        <f>Q4/Q36</f>
        <v>0.10028126270153097</v>
      </c>
      <c r="R37" s="43">
        <f>R4/R36</f>
        <v>0.10712393542646498</v>
      </c>
      <c r="S37" s="43">
        <f>S4/S36</f>
        <v>0.10676460543968777</v>
      </c>
      <c r="T37" s="43">
        <f>T4/T36</f>
        <v>0.1108524089306698</v>
      </c>
      <c r="U37" s="43">
        <f>U4/U36</f>
        <v>0.10932273131672597</v>
      </c>
      <c r="V37" s="68"/>
      <c r="Y37" s="43">
        <f>Y4/Y36</f>
        <v>0.45143541666666664</v>
      </c>
      <c r="Z37" s="43">
        <f>Z4/Z36</f>
        <v>0.39052254733218589</v>
      </c>
      <c r="AA37" s="43">
        <f>AA4/AA36</f>
        <v>0.38059537697126811</v>
      </c>
      <c r="AB37" s="43">
        <f>AB4/AB36</f>
        <v>0.36123541375365448</v>
      </c>
      <c r="AC37" s="68"/>
    </row>
    <row r="41" spans="2:39" x14ac:dyDescent="0.2">
      <c r="B41" s="34" t="s">
        <v>79</v>
      </c>
    </row>
    <row r="42" spans="2:39" s="2" customFormat="1" x14ac:dyDescent="0.2">
      <c r="B42" s="2" t="s">
        <v>6</v>
      </c>
      <c r="F42" s="29">
        <v>487.21499999999997</v>
      </c>
      <c r="G42" s="29"/>
      <c r="H42" s="29"/>
      <c r="I42" s="29"/>
      <c r="J42" s="29">
        <v>253.66</v>
      </c>
      <c r="N42" s="29">
        <v>933.88499999999999</v>
      </c>
      <c r="Q42" s="29">
        <v>1497.498</v>
      </c>
      <c r="R42" s="29">
        <v>1479.452</v>
      </c>
      <c r="S42" s="29">
        <v>1617.0219999999999</v>
      </c>
      <c r="T42" s="29">
        <v>798.625</v>
      </c>
      <c r="U42" s="29">
        <v>632.79399999999998</v>
      </c>
      <c r="V42" s="66"/>
      <c r="Y42" s="29">
        <f>F42</f>
        <v>487.21499999999997</v>
      </c>
      <c r="Z42" s="29">
        <f>J42</f>
        <v>253.66</v>
      </c>
      <c r="AA42" s="29">
        <f>N42</f>
        <v>933.88499999999999</v>
      </c>
      <c r="AB42" s="29">
        <f>R42</f>
        <v>1479.452</v>
      </c>
      <c r="AC42" s="71"/>
      <c r="AD42" s="87"/>
      <c r="AE42" s="87"/>
      <c r="AF42" s="87"/>
      <c r="AG42" s="87"/>
      <c r="AH42" s="87"/>
      <c r="AI42" s="87"/>
      <c r="AJ42" s="87"/>
      <c r="AK42" s="87"/>
      <c r="AL42" s="87"/>
      <c r="AM42" s="87"/>
    </row>
    <row r="43" spans="2:39" s="2" customFormat="1" x14ac:dyDescent="0.2">
      <c r="B43" s="2" t="s">
        <v>80</v>
      </c>
      <c r="F43" s="29">
        <v>261.12799999999999</v>
      </c>
      <c r="G43" s="29"/>
      <c r="H43" s="29"/>
      <c r="I43" s="29"/>
      <c r="J43" s="29">
        <v>1559.0329999999999</v>
      </c>
      <c r="N43" s="29">
        <v>2105.9059999999999</v>
      </c>
      <c r="Q43" s="29">
        <v>3896.7539999999999</v>
      </c>
      <c r="R43" s="29">
        <v>3878.43</v>
      </c>
      <c r="S43" s="29">
        <v>3606.29</v>
      </c>
      <c r="T43" s="29">
        <v>3593.6590000000001</v>
      </c>
      <c r="U43" s="29">
        <v>3575.7510000000002</v>
      </c>
      <c r="V43" s="66"/>
      <c r="Y43" s="29">
        <f t="shared" ref="Y43" si="78">F43</f>
        <v>261.12799999999999</v>
      </c>
      <c r="Z43" s="29">
        <f t="shared" ref="Z43" si="79">J43</f>
        <v>1559.0329999999999</v>
      </c>
      <c r="AA43" s="29">
        <f t="shared" ref="AA43" si="80">N43</f>
        <v>2105.9059999999999</v>
      </c>
      <c r="AB43" s="29">
        <f>R43</f>
        <v>3878.43</v>
      </c>
      <c r="AC43" s="71"/>
      <c r="AD43" s="87"/>
      <c r="AE43" s="87"/>
      <c r="AF43" s="87"/>
      <c r="AG43" s="87"/>
      <c r="AH43" s="87"/>
      <c r="AI43" s="87"/>
      <c r="AJ43" s="87"/>
      <c r="AK43" s="87"/>
      <c r="AL43" s="87"/>
      <c r="AM43" s="87"/>
    </row>
    <row r="44" spans="2:39" x14ac:dyDescent="0.2">
      <c r="B44" s="1" t="s">
        <v>81</v>
      </c>
      <c r="F44" s="30">
        <v>97.712000000000003</v>
      </c>
      <c r="G44" s="30"/>
      <c r="H44" s="30"/>
      <c r="I44" s="30"/>
      <c r="J44" s="30">
        <v>154.06700000000001</v>
      </c>
      <c r="N44" s="30">
        <v>251.167</v>
      </c>
      <c r="Q44" s="30">
        <v>345.79300000000001</v>
      </c>
      <c r="R44" s="30">
        <v>388.21499999999997</v>
      </c>
      <c r="S44" s="30">
        <v>406.73599999999999</v>
      </c>
      <c r="T44" s="30">
        <v>471.91500000000002</v>
      </c>
      <c r="U44" s="30">
        <v>487.75</v>
      </c>
      <c r="Y44" s="30">
        <f>F44</f>
        <v>97.712000000000003</v>
      </c>
      <c r="Z44" s="30">
        <f>J44</f>
        <v>154.06700000000001</v>
      </c>
      <c r="AA44" s="30">
        <f>N44</f>
        <v>251.167</v>
      </c>
      <c r="AB44" s="30">
        <f>R44</f>
        <v>388.21499999999997</v>
      </c>
    </row>
    <row r="45" spans="2:39" x14ac:dyDescent="0.2">
      <c r="B45" s="1" t="s">
        <v>82</v>
      </c>
      <c r="F45" s="30">
        <v>26.893000000000001</v>
      </c>
      <c r="G45" s="30"/>
      <c r="H45" s="30"/>
      <c r="I45" s="30"/>
      <c r="J45" s="30">
        <v>54.570999999999998</v>
      </c>
      <c r="N45" s="30">
        <v>81.376999999999995</v>
      </c>
      <c r="Q45" s="30">
        <v>165.76</v>
      </c>
      <c r="R45" s="30">
        <v>186.131</v>
      </c>
      <c r="S45" s="30">
        <v>201.142</v>
      </c>
      <c r="T45" s="30">
        <v>240.19200000000001</v>
      </c>
      <c r="U45" s="30">
        <v>265.97699999999998</v>
      </c>
      <c r="Y45" s="30">
        <f t="shared" ref="Y45" si="81">F45</f>
        <v>26.893000000000001</v>
      </c>
      <c r="Z45" s="30">
        <f t="shared" ref="Z45" si="82">J45</f>
        <v>54.570999999999998</v>
      </c>
      <c r="AA45" s="30">
        <f t="shared" ref="AA45" si="83">N45</f>
        <v>81.376999999999995</v>
      </c>
      <c r="AB45" s="30">
        <f t="shared" ref="AB45" si="84">R45</f>
        <v>186.131</v>
      </c>
    </row>
    <row r="46" spans="2:39" x14ac:dyDescent="0.2">
      <c r="B46" s="1" t="s">
        <v>83</v>
      </c>
      <c r="F46" s="30">
        <f>SUM(F42:F45)</f>
        <v>872.94799999999998</v>
      </c>
      <c r="G46" s="30"/>
      <c r="H46" s="30"/>
      <c r="I46" s="30"/>
      <c r="J46" s="30">
        <f>SUM(J42:J45)</f>
        <v>2021.3309999999999</v>
      </c>
      <c r="N46" s="30">
        <f>SUM(N42:N45)</f>
        <v>3372.335</v>
      </c>
      <c r="Q46" s="30">
        <f>SUM(Q42:Q45)</f>
        <v>5905.8050000000003</v>
      </c>
      <c r="R46" s="30">
        <f>SUM(R42:R45)</f>
        <v>5932.2280000000001</v>
      </c>
      <c r="S46" s="30">
        <f>SUM(S42:S45)</f>
        <v>5831.19</v>
      </c>
      <c r="T46" s="30">
        <f>SUM(T42:T45)</f>
        <v>5104.3909999999996</v>
      </c>
      <c r="U46" s="30">
        <f>SUM(U42:U45)</f>
        <v>4962.2719999999999</v>
      </c>
      <c r="Y46" s="30">
        <f t="shared" ref="Y46:AB46" si="85">SUM(Y42:Y45)</f>
        <v>872.94799999999998</v>
      </c>
      <c r="Z46" s="30">
        <f t="shared" si="85"/>
        <v>2021.3309999999999</v>
      </c>
      <c r="AA46" s="30">
        <f t="shared" si="85"/>
        <v>3372.335</v>
      </c>
      <c r="AB46" s="30">
        <f t="shared" si="85"/>
        <v>5932.2280000000001</v>
      </c>
    </row>
    <row r="47" spans="2:39" x14ac:dyDescent="0.2">
      <c r="B47" s="1" t="s">
        <v>84</v>
      </c>
      <c r="F47" s="30">
        <v>63.533999999999999</v>
      </c>
      <c r="G47" s="30"/>
      <c r="H47" s="30"/>
      <c r="I47" s="30"/>
      <c r="J47" s="30">
        <v>141.256</v>
      </c>
      <c r="N47" s="30">
        <v>183.239</v>
      </c>
      <c r="Q47" s="30">
        <v>237.24100000000001</v>
      </c>
      <c r="R47" s="30">
        <v>255.316</v>
      </c>
      <c r="S47" s="30">
        <v>259.00299999999999</v>
      </c>
      <c r="T47" s="30">
        <v>264.767</v>
      </c>
      <c r="U47" s="30">
        <v>263.86200000000002</v>
      </c>
      <c r="Y47" s="30">
        <f t="shared" ref="Y47:Y51" si="86">F47</f>
        <v>63.533999999999999</v>
      </c>
      <c r="Z47" s="30">
        <f>J47</f>
        <v>141.256</v>
      </c>
      <c r="AA47" s="30">
        <f t="shared" ref="AA47:AA51" si="87">N47</f>
        <v>183.239</v>
      </c>
      <c r="AB47" s="30">
        <f t="shared" ref="AB47:AB51" si="88">R47</f>
        <v>255.316</v>
      </c>
    </row>
    <row r="48" spans="2:39" x14ac:dyDescent="0.2">
      <c r="B48" s="1" t="s">
        <v>85</v>
      </c>
      <c r="F48" s="30">
        <v>0</v>
      </c>
      <c r="G48" s="30"/>
      <c r="H48" s="30"/>
      <c r="I48" s="30"/>
      <c r="J48" s="30">
        <v>156.74100000000001</v>
      </c>
      <c r="N48" s="30">
        <v>258.61</v>
      </c>
      <c r="Q48" s="30">
        <v>248.58199999999999</v>
      </c>
      <c r="R48" s="30">
        <v>234.584</v>
      </c>
      <c r="S48" s="30">
        <v>225.95099999999999</v>
      </c>
      <c r="T48" s="30">
        <v>213.464</v>
      </c>
      <c r="U48" s="30">
        <v>127.56699999999999</v>
      </c>
      <c r="Y48" s="30">
        <f t="shared" si="86"/>
        <v>0</v>
      </c>
      <c r="Z48" s="30">
        <f>J47</f>
        <v>141.256</v>
      </c>
      <c r="AA48" s="30">
        <f t="shared" si="87"/>
        <v>258.61</v>
      </c>
      <c r="AB48" s="30">
        <f t="shared" si="88"/>
        <v>234.584</v>
      </c>
    </row>
    <row r="49" spans="2:39" x14ac:dyDescent="0.2">
      <c r="B49" s="1" t="s">
        <v>86</v>
      </c>
      <c r="F49" s="30">
        <v>18.119</v>
      </c>
      <c r="G49" s="30"/>
      <c r="H49" s="30"/>
      <c r="I49" s="30"/>
      <c r="J49" s="30">
        <v>7.4999999999999997E-2</v>
      </c>
      <c r="N49" s="30">
        <v>0</v>
      </c>
      <c r="Q49" s="30">
        <v>0</v>
      </c>
      <c r="R49" s="30">
        <v>0</v>
      </c>
      <c r="S49" s="30">
        <v>0</v>
      </c>
      <c r="T49" s="30">
        <v>750</v>
      </c>
      <c r="U49" s="30">
        <v>732.49</v>
      </c>
      <c r="Y49" s="30">
        <f t="shared" si="86"/>
        <v>18.119</v>
      </c>
      <c r="Z49" s="30">
        <f>J49</f>
        <v>7.4999999999999997E-2</v>
      </c>
      <c r="AA49" s="30">
        <f t="shared" si="87"/>
        <v>0</v>
      </c>
      <c r="AB49" s="30">
        <f t="shared" si="88"/>
        <v>0</v>
      </c>
    </row>
    <row r="50" spans="2:39" x14ac:dyDescent="0.2">
      <c r="B50" s="1" t="s">
        <v>87</v>
      </c>
      <c r="F50" s="30">
        <f>27.558+38.165</f>
        <v>65.722999999999999</v>
      </c>
      <c r="G50" s="30"/>
      <c r="H50" s="30"/>
      <c r="I50" s="30"/>
      <c r="J50" s="30">
        <f>480.849+2296.784</f>
        <v>2777.6330000000003</v>
      </c>
      <c r="N50" s="30">
        <f>966.573+4595.394</f>
        <v>5561.9670000000006</v>
      </c>
      <c r="Q50" s="30">
        <f>1102.599+5263.051</f>
        <v>6365.6500000000005</v>
      </c>
      <c r="R50" s="30">
        <f>1050.012+5263.166</f>
        <v>6313.1779999999999</v>
      </c>
      <c r="S50" s="30">
        <f>1006.692+5286.683</f>
        <v>6293.375</v>
      </c>
      <c r="T50" s="30">
        <f>953.522+5285.563</f>
        <v>6239.085</v>
      </c>
      <c r="U50" s="30">
        <f>901.155+5284.616</f>
        <v>6185.7709999999997</v>
      </c>
      <c r="Y50" s="30">
        <f t="shared" si="86"/>
        <v>65.722999999999999</v>
      </c>
      <c r="Z50" s="30">
        <f t="shared" ref="Z50:Z51" si="89">J50</f>
        <v>2777.6330000000003</v>
      </c>
      <c r="AA50" s="30">
        <f t="shared" si="87"/>
        <v>5561.9670000000006</v>
      </c>
      <c r="AB50" s="30">
        <f t="shared" si="88"/>
        <v>6313.1779999999999</v>
      </c>
    </row>
    <row r="51" spans="2:39" x14ac:dyDescent="0.2">
      <c r="B51" s="1" t="s">
        <v>88</v>
      </c>
      <c r="F51" s="30">
        <v>8.3859999999999992</v>
      </c>
      <c r="G51" s="30"/>
      <c r="H51" s="30"/>
      <c r="I51" s="30"/>
      <c r="J51" s="30">
        <v>33.479999999999997</v>
      </c>
      <c r="N51" s="30">
        <v>111.282</v>
      </c>
      <c r="Q51" s="30">
        <v>219.56899999999999</v>
      </c>
      <c r="R51" s="30">
        <v>263.29199999999997</v>
      </c>
      <c r="S51" s="30">
        <v>281.28300000000002</v>
      </c>
      <c r="T51" s="30">
        <v>297.52199999999999</v>
      </c>
      <c r="U51" s="30">
        <v>340.69400000000002</v>
      </c>
      <c r="Y51" s="30">
        <f t="shared" si="86"/>
        <v>8.3859999999999992</v>
      </c>
      <c r="Z51" s="30">
        <f t="shared" si="89"/>
        <v>33.479999999999997</v>
      </c>
      <c r="AA51" s="30">
        <f t="shared" si="87"/>
        <v>111.282</v>
      </c>
      <c r="AB51" s="30">
        <f t="shared" si="88"/>
        <v>263.29199999999997</v>
      </c>
    </row>
    <row r="52" spans="2:39" x14ac:dyDescent="0.2">
      <c r="B52" s="1" t="s">
        <v>89</v>
      </c>
      <c r="F52" s="30">
        <f>F46+SUM(F47:F51)</f>
        <v>1028.71</v>
      </c>
      <c r="G52" s="30"/>
      <c r="H52" s="30"/>
      <c r="I52" s="30"/>
      <c r="J52" s="30">
        <f>J46+SUM(J47:J51)</f>
        <v>5130.5160000000005</v>
      </c>
      <c r="N52" s="30">
        <f>N46+SUM(N47:N51)</f>
        <v>9487.4330000000009</v>
      </c>
      <c r="Q52" s="30">
        <f>Q46+SUM(Q47:Q51)</f>
        <v>12976.847000000002</v>
      </c>
      <c r="R52" s="30">
        <f>R46+SUM(R47:R51)</f>
        <v>12998.598</v>
      </c>
      <c r="S52" s="30">
        <f>S46+SUM(S47:S51)</f>
        <v>12890.802</v>
      </c>
      <c r="T52" s="30">
        <f>T46+SUM(T47:T51)</f>
        <v>12869.228999999999</v>
      </c>
      <c r="U52" s="30">
        <f>U46+SUM(U47:U51)</f>
        <v>12612.655999999999</v>
      </c>
      <c r="Y52" s="30">
        <f t="shared" ref="Y52:AB52" si="90">Y46+SUM(Y47:Y51)</f>
        <v>1028.71</v>
      </c>
      <c r="Z52" s="30">
        <f t="shared" si="90"/>
        <v>5115.0309999999999</v>
      </c>
      <c r="AA52" s="30">
        <f t="shared" si="90"/>
        <v>9487.4330000000009</v>
      </c>
      <c r="AB52" s="30">
        <f t="shared" si="90"/>
        <v>12998.598</v>
      </c>
    </row>
    <row r="53" spans="2:39" x14ac:dyDescent="0.2">
      <c r="N53" s="30"/>
      <c r="Q53" s="30"/>
      <c r="S53" s="30"/>
      <c r="T53" s="30"/>
      <c r="U53" s="30"/>
      <c r="Y53" s="30"/>
      <c r="Z53" s="30"/>
    </row>
    <row r="54" spans="2:39" x14ac:dyDescent="0.2">
      <c r="B54" s="1" t="s">
        <v>90</v>
      </c>
      <c r="F54" s="30">
        <v>18.495000000000001</v>
      </c>
      <c r="J54" s="30">
        <v>39.098999999999997</v>
      </c>
      <c r="N54" s="30">
        <v>60.042000000000002</v>
      </c>
      <c r="Q54" s="30">
        <v>76.293000000000006</v>
      </c>
      <c r="R54" s="30">
        <v>93.332999999999998</v>
      </c>
      <c r="S54" s="30">
        <v>93.388999999999996</v>
      </c>
      <c r="T54" s="30">
        <v>102.039</v>
      </c>
      <c r="U54" s="30">
        <v>103.23399999999999</v>
      </c>
      <c r="Y54" s="30">
        <f t="shared" ref="Y54:Y57" si="91">F54</f>
        <v>18.495000000000001</v>
      </c>
      <c r="Z54" s="30">
        <f t="shared" ref="Z54:Z57" si="92">J54</f>
        <v>39.098999999999997</v>
      </c>
      <c r="AA54" s="30">
        <f t="shared" ref="AA54:AA60" si="93">N54</f>
        <v>60.042000000000002</v>
      </c>
      <c r="AB54" s="30">
        <f t="shared" ref="AB54:AB57" si="94">R54</f>
        <v>93.332999999999998</v>
      </c>
    </row>
    <row r="55" spans="2:39" x14ac:dyDescent="0.2">
      <c r="B55" s="1" t="s">
        <v>91</v>
      </c>
      <c r="F55" s="30">
        <v>96.343000000000004</v>
      </c>
      <c r="J55" s="30">
        <v>147.68100000000001</v>
      </c>
      <c r="N55" s="30">
        <v>252.89500000000001</v>
      </c>
      <c r="Q55" s="30">
        <v>368.863</v>
      </c>
      <c r="R55" s="30">
        <v>417.50299999999999</v>
      </c>
      <c r="S55" s="30">
        <v>433.66800000000001</v>
      </c>
      <c r="T55" s="30">
        <v>504.81</v>
      </c>
      <c r="U55" s="30">
        <v>572.87599999999998</v>
      </c>
      <c r="Y55" s="30">
        <f t="shared" si="91"/>
        <v>96.343000000000004</v>
      </c>
      <c r="Z55" s="30">
        <f t="shared" si="92"/>
        <v>147.68100000000001</v>
      </c>
      <c r="AA55" s="30">
        <f t="shared" si="93"/>
        <v>252.89500000000001</v>
      </c>
      <c r="AB55" s="30">
        <f t="shared" si="94"/>
        <v>417.50299999999999</v>
      </c>
    </row>
    <row r="56" spans="2:39" x14ac:dyDescent="0.2">
      <c r="B56" s="1" t="s">
        <v>92</v>
      </c>
      <c r="F56" s="30">
        <v>22.972000000000001</v>
      </c>
      <c r="J56" s="30">
        <v>26.361999999999998</v>
      </c>
      <c r="N56" s="30">
        <v>87.031000000000006</v>
      </c>
      <c r="Q56" s="30">
        <v>121.337</v>
      </c>
      <c r="R56" s="30">
        <v>140.38900000000001</v>
      </c>
      <c r="S56" s="30">
        <v>139.67099999999999</v>
      </c>
      <c r="T56" s="30">
        <v>137.72800000000001</v>
      </c>
      <c r="U56" s="30">
        <v>135.61000000000001</v>
      </c>
      <c r="Y56" s="30">
        <f t="shared" si="91"/>
        <v>22.972000000000001</v>
      </c>
      <c r="Z56" s="30">
        <f t="shared" si="92"/>
        <v>26.361999999999998</v>
      </c>
      <c r="AA56" s="30">
        <f t="shared" si="93"/>
        <v>87.031000000000006</v>
      </c>
      <c r="AB56" s="30">
        <f t="shared" si="94"/>
        <v>140.38900000000001</v>
      </c>
    </row>
    <row r="57" spans="2:39" x14ac:dyDescent="0.2">
      <c r="B57" s="1" t="s">
        <v>93</v>
      </c>
      <c r="F57" s="30">
        <v>0</v>
      </c>
      <c r="J57" s="30">
        <v>27.155999999999999</v>
      </c>
      <c r="N57" s="30">
        <v>48.338000000000001</v>
      </c>
      <c r="Q57" s="30">
        <v>50.76</v>
      </c>
      <c r="R57" s="30">
        <v>52.325000000000003</v>
      </c>
      <c r="S57" s="30">
        <v>53.094000000000001</v>
      </c>
      <c r="T57" s="30">
        <v>50.743000000000002</v>
      </c>
      <c r="U57" s="30">
        <v>52.453000000000003</v>
      </c>
      <c r="Y57" s="30">
        <f t="shared" si="91"/>
        <v>0</v>
      </c>
      <c r="Z57" s="30">
        <f t="shared" si="92"/>
        <v>27.155999999999999</v>
      </c>
      <c r="AA57" s="30">
        <f t="shared" si="93"/>
        <v>48.338000000000001</v>
      </c>
      <c r="AB57" s="30">
        <f t="shared" si="94"/>
        <v>52.325000000000003</v>
      </c>
    </row>
    <row r="58" spans="2:39" x14ac:dyDescent="0.2">
      <c r="B58" s="1" t="s">
        <v>95</v>
      </c>
      <c r="F58" s="30">
        <v>0</v>
      </c>
      <c r="J58" s="30">
        <v>6.9240000000000004</v>
      </c>
      <c r="N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Y58" s="30">
        <f>F58</f>
        <v>0</v>
      </c>
      <c r="Z58" s="30">
        <f>J58</f>
        <v>6.9240000000000004</v>
      </c>
      <c r="AA58" s="30">
        <f t="shared" si="93"/>
        <v>0</v>
      </c>
      <c r="AB58" s="30">
        <f>R58</f>
        <v>0</v>
      </c>
    </row>
    <row r="59" spans="2:39" x14ac:dyDescent="0.2">
      <c r="B59" s="1" t="s">
        <v>94</v>
      </c>
      <c r="F59" s="30">
        <f>SUM(F54:F58)</f>
        <v>137.81</v>
      </c>
      <c r="J59" s="30">
        <f>SUM(J54:J58)</f>
        <v>247.22200000000001</v>
      </c>
      <c r="N59" s="30">
        <f>SUM(N54:N58)</f>
        <v>448.30600000000004</v>
      </c>
      <c r="Q59" s="30">
        <f t="shared" ref="Q59:S59" si="95">SUM(Q54:Q58)</f>
        <v>617.25300000000004</v>
      </c>
      <c r="R59" s="30">
        <f t="shared" si="95"/>
        <v>703.55000000000007</v>
      </c>
      <c r="S59" s="30">
        <f t="shared" si="95"/>
        <v>719.82200000000012</v>
      </c>
      <c r="T59" s="30">
        <f>SUM(T54:T58)</f>
        <v>795.32</v>
      </c>
      <c r="U59" s="30">
        <f>SUM(U54:U58)</f>
        <v>864.173</v>
      </c>
      <c r="Y59" s="30">
        <f>SUM(Y54:Y58)</f>
        <v>137.81</v>
      </c>
      <c r="Z59" s="30">
        <f>SUM(Z54:Z58)</f>
        <v>247.22200000000001</v>
      </c>
      <c r="AA59" s="30">
        <f>SUM(AA54:AA58)</f>
        <v>448.30600000000004</v>
      </c>
      <c r="AB59" s="30">
        <f>SUM(AB54:AB58)</f>
        <v>703.55000000000007</v>
      </c>
    </row>
    <row r="60" spans="2:39" x14ac:dyDescent="0.2">
      <c r="B60" s="1" t="s">
        <v>93</v>
      </c>
      <c r="F60" s="30">
        <v>0</v>
      </c>
      <c r="J60" s="30">
        <v>139.19999999999999</v>
      </c>
      <c r="N60" s="30">
        <v>229.905</v>
      </c>
      <c r="Q60" s="30">
        <v>223.03299999999999</v>
      </c>
      <c r="R60" s="30">
        <v>211.25299999999999</v>
      </c>
      <c r="S60" s="30">
        <v>201.35400000000001</v>
      </c>
      <c r="T60" s="30">
        <v>189.06800000000001</v>
      </c>
      <c r="U60" s="30">
        <v>176.33600000000001</v>
      </c>
      <c r="Y60" s="30">
        <f t="shared" ref="Y60:Y63" si="96">F60</f>
        <v>0</v>
      </c>
      <c r="Z60" s="30">
        <f t="shared" ref="Z60:Z63" si="97">J60</f>
        <v>139.19999999999999</v>
      </c>
      <c r="AA60" s="30">
        <f t="shared" si="93"/>
        <v>229.905</v>
      </c>
      <c r="AB60" s="30">
        <f t="shared" ref="AB60" si="98">R60</f>
        <v>211.25299999999999</v>
      </c>
    </row>
    <row r="61" spans="2:39" s="2" customFormat="1" x14ac:dyDescent="0.2">
      <c r="B61" s="2" t="s">
        <v>95</v>
      </c>
      <c r="F61" s="29">
        <v>0</v>
      </c>
      <c r="J61" s="29">
        <v>8.7460000000000004</v>
      </c>
      <c r="N61" s="29">
        <v>17.856000000000002</v>
      </c>
      <c r="Q61" s="29">
        <v>20.254000000000001</v>
      </c>
      <c r="R61" s="29">
        <v>25.132000000000001</v>
      </c>
      <c r="S61" s="29">
        <v>22.053000000000001</v>
      </c>
      <c r="T61" s="29">
        <v>18.934999999999999</v>
      </c>
      <c r="U61" s="29">
        <v>24.841999999999999</v>
      </c>
      <c r="V61" s="66"/>
      <c r="Y61" s="29">
        <f t="shared" si="96"/>
        <v>0</v>
      </c>
      <c r="Z61" s="29">
        <f t="shared" si="97"/>
        <v>8.7460000000000004</v>
      </c>
      <c r="AA61" s="29">
        <f t="shared" ref="AA61" si="99">N61</f>
        <v>17.856000000000002</v>
      </c>
      <c r="AB61" s="29">
        <f>R61</f>
        <v>25.132000000000001</v>
      </c>
      <c r="AC61" s="71"/>
      <c r="AD61" s="87"/>
      <c r="AE61" s="87"/>
      <c r="AF61" s="87"/>
      <c r="AG61" s="87"/>
      <c r="AH61" s="87"/>
      <c r="AI61" s="87"/>
      <c r="AJ61" s="87"/>
      <c r="AK61" s="87"/>
      <c r="AL61" s="87"/>
      <c r="AM61" s="87"/>
    </row>
    <row r="62" spans="2:39" s="2" customFormat="1" x14ac:dyDescent="0.2">
      <c r="B62" s="2" t="s">
        <v>96</v>
      </c>
      <c r="F62" s="29">
        <v>434.49599999999998</v>
      </c>
      <c r="J62" s="29">
        <v>458.19</v>
      </c>
      <c r="N62" s="29">
        <v>302.06799999999998</v>
      </c>
      <c r="Q62" s="29">
        <v>985.54700000000003</v>
      </c>
      <c r="R62" s="29">
        <v>985.90700000000004</v>
      </c>
      <c r="S62" s="29">
        <v>986.24300000000005</v>
      </c>
      <c r="T62" s="29">
        <v>986.61900000000003</v>
      </c>
      <c r="U62" s="29">
        <v>986.98500000000001</v>
      </c>
      <c r="V62" s="66"/>
      <c r="Y62" s="29">
        <f t="shared" si="96"/>
        <v>434.49599999999998</v>
      </c>
      <c r="Z62" s="29">
        <f t="shared" si="97"/>
        <v>458.19</v>
      </c>
      <c r="AA62" s="29">
        <f t="shared" ref="AA62:AA63" si="100">N62</f>
        <v>302.06799999999998</v>
      </c>
      <c r="AB62" s="29">
        <f t="shared" ref="AB62:AB63" si="101">R62</f>
        <v>985.90700000000004</v>
      </c>
      <c r="AC62" s="71"/>
      <c r="AD62" s="87"/>
      <c r="AE62" s="87"/>
      <c r="AF62" s="87"/>
      <c r="AG62" s="87"/>
      <c r="AH62" s="87"/>
      <c r="AI62" s="87"/>
      <c r="AJ62" s="87"/>
      <c r="AK62" s="87"/>
      <c r="AL62" s="87"/>
      <c r="AM62" s="87"/>
    </row>
    <row r="63" spans="2:39" x14ac:dyDescent="0.2">
      <c r="B63" s="1" t="s">
        <v>97</v>
      </c>
      <c r="F63" s="30">
        <v>18.169</v>
      </c>
      <c r="J63" s="30">
        <v>17.747</v>
      </c>
      <c r="N63" s="30">
        <v>36.633000000000003</v>
      </c>
      <c r="Q63" s="30">
        <v>49.191000000000003</v>
      </c>
      <c r="R63" s="30">
        <v>41.29</v>
      </c>
      <c r="S63" s="30">
        <v>43.896999999999998</v>
      </c>
      <c r="T63" s="30">
        <v>37.292000000000002</v>
      </c>
      <c r="U63" s="30">
        <v>29.431999999999999</v>
      </c>
      <c r="Y63" s="30">
        <f t="shared" si="96"/>
        <v>18.169</v>
      </c>
      <c r="Z63" s="30">
        <f t="shared" si="97"/>
        <v>17.747</v>
      </c>
      <c r="AA63" s="30">
        <f t="shared" si="100"/>
        <v>36.633000000000003</v>
      </c>
      <c r="AB63" s="30">
        <f t="shared" si="101"/>
        <v>41.29</v>
      </c>
    </row>
    <row r="64" spans="2:39" x14ac:dyDescent="0.2">
      <c r="B64" s="1" t="s">
        <v>98</v>
      </c>
      <c r="F64" s="30">
        <f>SUM(F60:F63)+F59</f>
        <v>590.47499999999991</v>
      </c>
      <c r="J64" s="30">
        <f>SUM(J60:J63)+J59</f>
        <v>871.1049999999999</v>
      </c>
      <c r="N64" s="30">
        <f>SUM(N60:N63)+N59</f>
        <v>1034.768</v>
      </c>
      <c r="Q64" s="30">
        <f>SUM(Q60:Q63)+Q59</f>
        <v>1895.2780000000002</v>
      </c>
      <c r="R64" s="30">
        <f>SUM(R60:R63)+R59</f>
        <v>1967.1320000000001</v>
      </c>
      <c r="S64" s="30">
        <f>SUM(S60:S63)+S59</f>
        <v>1973.3690000000001</v>
      </c>
      <c r="T64" s="30">
        <f>SUM(T60:T63)+T59</f>
        <v>2027.2339999999999</v>
      </c>
      <c r="U64" s="30">
        <f>SUM(U60:U63)+U59</f>
        <v>2081.768</v>
      </c>
      <c r="Y64" s="30">
        <f t="shared" ref="Y64:Z64" si="102">SUM(Y60:Y63)+Y59</f>
        <v>590.47499999999991</v>
      </c>
      <c r="Z64" s="30">
        <f t="shared" si="102"/>
        <v>871.1049999999999</v>
      </c>
      <c r="AA64" s="30">
        <f>SUM(AA60:AA63)+AA59</f>
        <v>1034.768</v>
      </c>
      <c r="AB64" s="30">
        <f>SUM(AB60:AB63)+AB59</f>
        <v>1967.1320000000001</v>
      </c>
    </row>
    <row r="65" spans="2:29" x14ac:dyDescent="0.2">
      <c r="T65" s="30"/>
      <c r="Y65" s="30"/>
      <c r="Z65" s="30"/>
    </row>
    <row r="66" spans="2:29" x14ac:dyDescent="0.2">
      <c r="B66" s="1" t="s">
        <v>99</v>
      </c>
      <c r="F66" s="30">
        <v>438.23500000000001</v>
      </c>
      <c r="J66" s="30">
        <v>4279.4110000000001</v>
      </c>
      <c r="N66" s="30">
        <v>8452.6650000000009</v>
      </c>
      <c r="Q66" s="30">
        <v>11081.749</v>
      </c>
      <c r="R66" s="30">
        <v>11031.466</v>
      </c>
      <c r="S66" s="30">
        <v>10917.433000000001</v>
      </c>
      <c r="T66" s="30">
        <v>10841.995000000001</v>
      </c>
      <c r="U66" s="30">
        <v>10530.888000000001</v>
      </c>
      <c r="Y66" s="30">
        <f>F66</f>
        <v>438.23500000000001</v>
      </c>
      <c r="Z66" s="30">
        <f>J66</f>
        <v>4279.4110000000001</v>
      </c>
      <c r="AA66" s="30">
        <f>N66</f>
        <v>8452.6650000000009</v>
      </c>
      <c r="AB66" s="30">
        <f>R66</f>
        <v>11031.466</v>
      </c>
    </row>
    <row r="67" spans="2:29" x14ac:dyDescent="0.2">
      <c r="B67" s="1" t="s">
        <v>100</v>
      </c>
      <c r="F67" s="30">
        <f>F66+F64</f>
        <v>1028.71</v>
      </c>
      <c r="J67" s="30">
        <f>J66+J64</f>
        <v>5150.5159999999996</v>
      </c>
      <c r="N67" s="30">
        <f>N66+N64</f>
        <v>9487.4330000000009</v>
      </c>
      <c r="Q67" s="30">
        <f>Q66+Q64</f>
        <v>12977.027</v>
      </c>
      <c r="R67" s="30">
        <f>R66+R64</f>
        <v>12998.598</v>
      </c>
      <c r="S67" s="30">
        <f>S66+S64</f>
        <v>12890.802000000001</v>
      </c>
      <c r="T67" s="30">
        <f>T66+T64</f>
        <v>12869.229000000001</v>
      </c>
      <c r="U67" s="30">
        <f>U66+U64</f>
        <v>12612.656000000001</v>
      </c>
      <c r="Y67" s="30">
        <f>Y66+Y64</f>
        <v>1028.71</v>
      </c>
      <c r="Z67" s="30">
        <f>Z66+Z64</f>
        <v>5150.5159999999996</v>
      </c>
      <c r="AA67" s="30">
        <f>AA66+AA64</f>
        <v>9487.4330000000009</v>
      </c>
      <c r="AB67" s="30">
        <f>AB66+AB64</f>
        <v>12998.598</v>
      </c>
    </row>
    <row r="68" spans="2:29" x14ac:dyDescent="0.2">
      <c r="Y68" s="30"/>
      <c r="Z68" s="30"/>
    </row>
    <row r="69" spans="2:29" x14ac:dyDescent="0.2">
      <c r="B69" s="1" t="s">
        <v>101</v>
      </c>
      <c r="F69" s="30">
        <f t="shared" ref="F69" si="103">F52-F64</f>
        <v>438.23500000000013</v>
      </c>
      <c r="J69" s="30">
        <f t="shared" ref="J69" si="104">J52-J64</f>
        <v>4259.411000000001</v>
      </c>
      <c r="N69" s="30">
        <f t="shared" ref="N69" si="105">N52-N64</f>
        <v>8452.6650000000009</v>
      </c>
      <c r="Q69" s="30">
        <f t="shared" ref="Q69:R69" si="106">Q52-Q64</f>
        <v>11081.569000000001</v>
      </c>
      <c r="R69" s="30">
        <f t="shared" si="106"/>
        <v>11031.466</v>
      </c>
      <c r="S69" s="30">
        <f t="shared" ref="S69" si="107">S52-S64</f>
        <v>10917.432999999999</v>
      </c>
      <c r="T69" s="30">
        <f>T52-T64</f>
        <v>10841.994999999999</v>
      </c>
      <c r="U69" s="30">
        <f t="shared" ref="U69" si="108">U52-U64</f>
        <v>10530.887999999999</v>
      </c>
      <c r="Y69" s="30">
        <f>Y52-Y64</f>
        <v>438.23500000000013</v>
      </c>
      <c r="Z69" s="30">
        <f>Z52-Z64</f>
        <v>4243.9260000000004</v>
      </c>
      <c r="AA69" s="30">
        <f>AA52-AA64</f>
        <v>8452.6650000000009</v>
      </c>
      <c r="AB69" s="30">
        <f>AB52-AB64</f>
        <v>11031.466</v>
      </c>
    </row>
    <row r="70" spans="2:29" x14ac:dyDescent="0.2">
      <c r="B70" s="1" t="s">
        <v>102</v>
      </c>
      <c r="F70" s="1">
        <f t="shared" ref="F70" si="109">F69/F19</f>
        <v>4.4080086658029467</v>
      </c>
      <c r="J70" s="1">
        <f t="shared" ref="J70" si="110">J69/J19</f>
        <v>30.926123407736053</v>
      </c>
      <c r="N70" s="1">
        <f t="shared" ref="N70" si="111">N69/N19</f>
        <v>53.368623979541908</v>
      </c>
      <c r="Q70" s="1">
        <f t="shared" ref="Q70" si="112">Q69/Q19</f>
        <v>62.526032015171587</v>
      </c>
      <c r="R70" s="1">
        <f t="shared" ref="R70" si="113">R69/R19</f>
        <v>61.650794916840383</v>
      </c>
      <c r="S70" s="1">
        <f t="shared" ref="S70" si="114">S69/S19</f>
        <v>60.351081657501894</v>
      </c>
      <c r="T70" s="1">
        <f>T69/T19</f>
        <v>59.457757070299436</v>
      </c>
      <c r="U70" s="1">
        <f t="shared" ref="U70" si="115">U69/U19</f>
        <v>57.328874782323787</v>
      </c>
      <c r="Y70" s="1">
        <f>Y69/Y19</f>
        <v>4.511824055303669</v>
      </c>
      <c r="Z70" s="1">
        <f>Z69/Z19</f>
        <v>32.624743427364088</v>
      </c>
      <c r="AA70" s="1">
        <f>AA69/AA19</f>
        <v>57.615309329074869</v>
      </c>
      <c r="AB70" s="1">
        <f>AB69/AB19</f>
        <v>63.333543173168131</v>
      </c>
    </row>
    <row r="71" spans="2:29" x14ac:dyDescent="0.2">
      <c r="Y71" s="30"/>
      <c r="Z71" s="30"/>
    </row>
    <row r="72" spans="2:29" s="35" customFormat="1" x14ac:dyDescent="0.2">
      <c r="B72" s="35" t="s">
        <v>6</v>
      </c>
      <c r="F72" s="36">
        <f>F42+F43</f>
        <v>748.34299999999996</v>
      </c>
      <c r="J72" s="36">
        <f>J42+J43</f>
        <v>1812.693</v>
      </c>
      <c r="N72" s="36">
        <f>N42+N43</f>
        <v>3039.7910000000002</v>
      </c>
      <c r="Q72" s="36">
        <f t="shared" ref="Q72" si="116">Q42+Q43</f>
        <v>5394.2520000000004</v>
      </c>
      <c r="R72" s="36">
        <f>R42+R43</f>
        <v>5357.8819999999996</v>
      </c>
      <c r="S72" s="36">
        <f>S42+S43</f>
        <v>5223.3119999999999</v>
      </c>
      <c r="T72" s="36">
        <f>T42+T43</f>
        <v>4392.2839999999997</v>
      </c>
      <c r="U72" s="36">
        <f t="shared" ref="U72" si="117">U42+U43</f>
        <v>4208.5450000000001</v>
      </c>
      <c r="V72" s="68"/>
      <c r="Y72" s="36">
        <f>F72</f>
        <v>748.34299999999996</v>
      </c>
      <c r="Z72" s="36">
        <f>J72</f>
        <v>1812.693</v>
      </c>
      <c r="AA72" s="36">
        <f>N72</f>
        <v>3039.7910000000002</v>
      </c>
      <c r="AB72" s="36">
        <f>R72</f>
        <v>5357.8819999999996</v>
      </c>
      <c r="AC72" s="68"/>
    </row>
    <row r="73" spans="2:29" s="35" customFormat="1" x14ac:dyDescent="0.2">
      <c r="B73" s="35" t="s">
        <v>7</v>
      </c>
      <c r="F73" s="36">
        <f>F61+F62+F58</f>
        <v>434.49599999999998</v>
      </c>
      <c r="J73" s="36">
        <f>J61+J62+J58</f>
        <v>473.85999999999996</v>
      </c>
      <c r="N73" s="36">
        <f>N61+N62+N58</f>
        <v>319.92399999999998</v>
      </c>
      <c r="Q73" s="36">
        <f>Q61+Q62+Q58</f>
        <v>1005.801</v>
      </c>
      <c r="R73" s="36">
        <f>R61+R62+R58</f>
        <v>1011.039</v>
      </c>
      <c r="S73" s="36">
        <f>S61+S62+S58</f>
        <v>1008.296</v>
      </c>
      <c r="T73" s="36">
        <f>T61+T62+T58</f>
        <v>1005.554</v>
      </c>
      <c r="U73" s="36">
        <f t="shared" ref="U73" si="118">U61+U62+U58</f>
        <v>1011.827</v>
      </c>
      <c r="V73" s="68"/>
      <c r="Y73" s="36">
        <f>F73</f>
        <v>434.49599999999998</v>
      </c>
      <c r="Z73" s="36">
        <f>J73</f>
        <v>473.85999999999996</v>
      </c>
      <c r="AA73" s="36">
        <f>N73</f>
        <v>319.92399999999998</v>
      </c>
      <c r="AB73" s="36">
        <f>R73</f>
        <v>1011.039</v>
      </c>
      <c r="AC73" s="68"/>
    </row>
    <row r="74" spans="2:29" x14ac:dyDescent="0.2">
      <c r="B74" s="1" t="s">
        <v>8</v>
      </c>
      <c r="F74" s="30">
        <f t="shared" ref="F74" si="119">F72-F73</f>
        <v>313.84699999999998</v>
      </c>
      <c r="J74" s="30">
        <f t="shared" ref="J74" si="120">J72-J73</f>
        <v>1338.8330000000001</v>
      </c>
      <c r="N74" s="30">
        <f t="shared" ref="N74" si="121">N72-N73</f>
        <v>2719.8670000000002</v>
      </c>
      <c r="Q74" s="30">
        <f t="shared" ref="Q74" si="122">Q72-Q73</f>
        <v>4388.451</v>
      </c>
      <c r="R74" s="30">
        <f t="shared" ref="R74" si="123">R72-R73</f>
        <v>4346.8429999999998</v>
      </c>
      <c r="S74" s="30">
        <f t="shared" ref="S74" si="124">S72-S73</f>
        <v>4215.0159999999996</v>
      </c>
      <c r="T74" s="30">
        <f>T72-T73</f>
        <v>3386.7299999999996</v>
      </c>
      <c r="U74" s="30">
        <f t="shared" ref="U74" si="125">U72-U73</f>
        <v>3196.7179999999998</v>
      </c>
      <c r="Y74" s="30">
        <f>Y72-Y73</f>
        <v>313.84699999999998</v>
      </c>
      <c r="Z74" s="30">
        <f>Z72-Z73</f>
        <v>1338.8330000000001</v>
      </c>
      <c r="AA74" s="30">
        <f>AA72-AA73</f>
        <v>2719.8670000000002</v>
      </c>
      <c r="AB74" s="30">
        <f>AB72-AB73</f>
        <v>4346.8429999999998</v>
      </c>
    </row>
    <row r="76" spans="2:29" x14ac:dyDescent="0.2">
      <c r="B76" s="1" t="s">
        <v>3</v>
      </c>
      <c r="F76" s="44">
        <v>89.3</v>
      </c>
      <c r="J76" s="44">
        <v>98.28</v>
      </c>
      <c r="M76" s="1">
        <v>247.09</v>
      </c>
      <c r="N76" s="44">
        <v>338.5</v>
      </c>
      <c r="O76" s="1">
        <v>340.76</v>
      </c>
      <c r="P76" s="1">
        <v>394.16</v>
      </c>
      <c r="Q76" s="1">
        <v>319.05</v>
      </c>
      <c r="R76" s="1">
        <v>263.33999999999997</v>
      </c>
      <c r="S76" s="1">
        <v>164.81</v>
      </c>
      <c r="T76" s="1">
        <v>83.81</v>
      </c>
      <c r="U76" s="1">
        <v>69.14</v>
      </c>
      <c r="Y76" s="44">
        <v>98.28</v>
      </c>
      <c r="Z76" s="44">
        <v>98.28</v>
      </c>
      <c r="AA76" s="44">
        <f>N76</f>
        <v>338.5</v>
      </c>
      <c r="AB76" s="1">
        <f>R76</f>
        <v>263.33999999999997</v>
      </c>
    </row>
    <row r="77" spans="2:29" x14ac:dyDescent="0.2">
      <c r="B77" s="1" t="s">
        <v>5</v>
      </c>
      <c r="F77" s="30">
        <f t="shared" ref="F77" si="126">F76*F19</f>
        <v>8878.0191844000001</v>
      </c>
      <c r="J77" s="30">
        <f t="shared" ref="J77" si="127">J76*J19</f>
        <v>13535.96464584</v>
      </c>
      <c r="M77" s="30">
        <f t="shared" ref="M77:T77" si="128">M76*M19</f>
        <v>36446.040621749999</v>
      </c>
      <c r="N77" s="30">
        <f t="shared" si="128"/>
        <v>53612.532779499998</v>
      </c>
      <c r="O77" s="30">
        <f t="shared" si="128"/>
        <v>56961.597668080001</v>
      </c>
      <c r="P77" s="30">
        <f t="shared" si="128"/>
        <v>68350.181163679998</v>
      </c>
      <c r="Q77" s="30">
        <f t="shared" si="128"/>
        <v>56545.641479250007</v>
      </c>
      <c r="R77" s="30">
        <f t="shared" si="128"/>
        <v>47120.661791279999</v>
      </c>
      <c r="S77" s="30">
        <f t="shared" si="128"/>
        <v>29813.916889529999</v>
      </c>
      <c r="T77" s="30">
        <f t="shared" si="128"/>
        <v>15282.57448184</v>
      </c>
      <c r="U77" s="30">
        <f t="shared" ref="U77" si="129">U76*U19</f>
        <v>12700.503874960001</v>
      </c>
      <c r="Y77" s="30">
        <f t="shared" ref="Y77" si="130">Y76*Y19</f>
        <v>9545.9697169200008</v>
      </c>
      <c r="Z77" s="30">
        <f>Z76*Z19</f>
        <v>12784.56176088</v>
      </c>
      <c r="AA77" s="30">
        <f>AA76*AA19</f>
        <v>49660.8824255</v>
      </c>
      <c r="AB77" s="30">
        <f>AB76*AB19</f>
        <v>45868.683653099994</v>
      </c>
    </row>
    <row r="78" spans="2:29" x14ac:dyDescent="0.2">
      <c r="B78" s="1" t="s">
        <v>9</v>
      </c>
      <c r="F78" s="30">
        <f t="shared" ref="F78" si="131">F77-F74</f>
        <v>8564.1721844000003</v>
      </c>
      <c r="J78" s="30">
        <f t="shared" ref="J78" si="132">J77-J74</f>
        <v>12197.13164584</v>
      </c>
      <c r="N78" s="30">
        <f t="shared" ref="N78" si="133">N77-N74</f>
        <v>50892.665779499999</v>
      </c>
      <c r="P78" s="30"/>
      <c r="Q78" s="30">
        <f t="shared" ref="Q78:R78" si="134">Q77-Q74</f>
        <v>52157.190479250006</v>
      </c>
      <c r="R78" s="30">
        <f t="shared" si="134"/>
        <v>42773.818791279999</v>
      </c>
      <c r="S78" s="30">
        <f t="shared" ref="S78" si="135">S77-S74</f>
        <v>25598.900889529999</v>
      </c>
      <c r="T78" s="30">
        <f>T77-T74</f>
        <v>11895.84448184</v>
      </c>
      <c r="U78" s="30">
        <f t="shared" ref="U78" si="136">U77-U74</f>
        <v>9503.7858749600018</v>
      </c>
      <c r="Y78" s="30">
        <f t="shared" ref="Y78" si="137">Y77-Y74</f>
        <v>9232.122716920001</v>
      </c>
      <c r="Z78" s="30">
        <f t="shared" ref="Z78:AA78" si="138">Z77-Z74</f>
        <v>11445.72876088</v>
      </c>
      <c r="AA78" s="30">
        <f t="shared" si="138"/>
        <v>46941.015425500002</v>
      </c>
      <c r="AB78" s="30">
        <f t="shared" ref="AB78" si="139">AB77-AB74</f>
        <v>41521.840653099993</v>
      </c>
    </row>
    <row r="80" spans="2:29" x14ac:dyDescent="0.2">
      <c r="B80" s="1" t="s">
        <v>103</v>
      </c>
      <c r="F80" s="37">
        <f>F76/F70</f>
        <v>20.258580862779098</v>
      </c>
      <c r="J80" s="37">
        <f>J76/J70</f>
        <v>3.1778958747676609</v>
      </c>
      <c r="N80" s="37">
        <f>N76/N70</f>
        <v>6.3426780523657325</v>
      </c>
      <c r="Q80" s="37">
        <f t="shared" ref="Q80" si="140">Q76/Q70</f>
        <v>5.1026746735277291</v>
      </c>
      <c r="R80" s="37">
        <f>R76/R70</f>
        <v>4.2714777701603754</v>
      </c>
      <c r="S80" s="37">
        <f>S76/S70</f>
        <v>2.730854120151688</v>
      </c>
      <c r="T80" s="37">
        <f>T76/T70</f>
        <v>1.4095721757702342</v>
      </c>
      <c r="U80" s="37">
        <f t="shared" ref="U80" si="141">U76/U70</f>
        <v>1.206024019528078</v>
      </c>
      <c r="Y80" s="37">
        <f t="shared" ref="Y80" si="142">Y76/Y70</f>
        <v>21.782764308921006</v>
      </c>
      <c r="Z80" s="37">
        <f t="shared" ref="Z80" si="143">Z76/Z70</f>
        <v>3.0124374838015551</v>
      </c>
      <c r="AA80" s="37">
        <f>AA76/AA70</f>
        <v>5.8751745663054189</v>
      </c>
      <c r="AB80" s="37">
        <f>AB76/AB70</f>
        <v>4.1579862235082805</v>
      </c>
    </row>
    <row r="81" spans="2:28" x14ac:dyDescent="0.2">
      <c r="B81" s="1" t="s">
        <v>105</v>
      </c>
      <c r="N81" s="37">
        <f>N77/SUM(K4:N4)</f>
        <v>53.82465574780209</v>
      </c>
      <c r="Q81" s="37">
        <f>Q77/SUM(N4:Q4)</f>
        <v>22.199267614739412</v>
      </c>
      <c r="R81" s="37">
        <f>R77/SUM(O4:R4)</f>
        <v>16.581045510065838</v>
      </c>
      <c r="S81" s="37">
        <f>S77/SUM(P4:S4)</f>
        <v>9.5336989696036145</v>
      </c>
      <c r="T81" s="37">
        <f>T77/SUM(Q4:T4)</f>
        <v>4.4927117390362339</v>
      </c>
      <c r="U81" s="37">
        <f t="shared" ref="U81" si="144">U77/SUM(R4:U4)</f>
        <v>3.4848498391023606</v>
      </c>
      <c r="Y81" s="37">
        <f>Y77/Y4</f>
        <v>14.684593614073627</v>
      </c>
      <c r="Z81" s="37">
        <f>Z77/Z4</f>
        <v>11.269213200266556</v>
      </c>
      <c r="AA81" s="37">
        <f>AA77/AA4</f>
        <v>28.187966248546921</v>
      </c>
      <c r="AB81" s="37">
        <f>AB77/AB4</f>
        <v>16.140493410464138</v>
      </c>
    </row>
    <row r="82" spans="2:28" x14ac:dyDescent="0.2">
      <c r="B82" s="1" t="s">
        <v>104</v>
      </c>
      <c r="N82" s="37">
        <f t="shared" ref="N82" si="145">N76/SUM(K18:N18)</f>
        <v>-175.84216103089744</v>
      </c>
      <c r="Q82" s="37">
        <f t="shared" ref="Q82" si="146">Q76/SUM(N18:Q18)</f>
        <v>-64.500694009685063</v>
      </c>
      <c r="R82" s="37">
        <f t="shared" ref="R82:S82" si="147">R76/SUM(O18:R18)</f>
        <v>-48.385204422553002</v>
      </c>
      <c r="S82" s="37">
        <f t="shared" si="147"/>
        <v>-30.339872026893296</v>
      </c>
      <c r="T82" s="37">
        <f>T76/SUM(Q18:T18)</f>
        <v>-14.233498713981406</v>
      </c>
      <c r="U82" s="37">
        <f t="shared" ref="U82" si="148">U76/SUM(R18:U18)</f>
        <v>-9.5372734774675205</v>
      </c>
      <c r="Y82" s="37">
        <f t="shared" ref="Y82:Z82" si="149">Y76/Y18</f>
        <v>-78.278376345193479</v>
      </c>
      <c r="Z82" s="37">
        <f t="shared" si="149"/>
        <v>-41.634979665019884</v>
      </c>
      <c r="AA82" s="37">
        <f>AA76/AA18</f>
        <v>-101.14665276009771</v>
      </c>
      <c r="AB82" s="37">
        <f>AB76/AB18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B1" r:id="rId4" xr:uid="{442A1034-B338-4801-AF1E-61BA7E0E77AC}"/>
    <hyperlink ref="Q1" r:id="rId5" xr:uid="{BA74861F-598C-41FE-BE22-C6AA1B8966A6}"/>
    <hyperlink ref="Z1" r:id="rId6" xr:uid="{4D41E43B-78DD-4BC7-9AA5-4C75C95D3E6E}"/>
    <hyperlink ref="Y1" r:id="rId7" xr:uid="{620C08C8-E4C1-490D-823F-7D8C45A07CBD}"/>
    <hyperlink ref="J1" r:id="rId8" xr:uid="{A20F0590-51BB-47FE-A2F0-ABB514CD183A}"/>
    <hyperlink ref="U1" r:id="rId9" xr:uid="{AFB77E95-5EDC-441A-8256-717B30720354}"/>
  </hyperlinks>
  <pageMargins left="0.7" right="0.7" top="0.75" bottom="0.75" header="0.3" footer="0.3"/>
  <pageSetup paperSize="256" orientation="portrait" horizontalDpi="203" verticalDpi="203" r:id="rId10"/>
  <ignoredErrors>
    <ignoredError sqref="Y46:AB46 Y60:AB64 Y52 AA52:AB52 Y50:AB51 Y49 AA49:AB49 Y48:AB48 Y47 AA47:AB47 Y53:AB57 V59:X59 Y59:AB59 V16 AC6:AC16 AD16:AM16" formula="1"/>
    <ignoredError sqref="N81:P81 S81 Q81:R81 T81:U81 V14" formulaRange="1"/>
  </ignoredErrors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564" workbookViewId="0">
      <selection activeCell="J1590" sqref="J1590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2022-12-01T13:23:53Z</dcterms:modified>
</cp:coreProperties>
</file>