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0FA0D16-6B8E-4BD7-B93D-EA18D8A1CBB1}" xr6:coauthVersionLast="36" xr6:coauthVersionMax="47" xr10:uidLastSave="{00000000-0000-0000-0000-000000000000}"/>
  <bookViews>
    <workbookView xWindow="4665" yWindow="495" windowWidth="2764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0" i="1" l="1"/>
  <c r="AF10" i="1"/>
  <c r="AE10" i="1"/>
  <c r="AB10" i="1"/>
  <c r="AA10" i="1"/>
  <c r="Z10" i="1"/>
  <c r="Y10" i="1"/>
  <c r="S10" i="1"/>
  <c r="M10" i="1"/>
  <c r="K10" i="1"/>
  <c r="AI11" i="1" l="1"/>
  <c r="AI15" i="1" l="1"/>
  <c r="AI1" i="1" s="1"/>
  <c r="AJ9" i="1" l="1"/>
  <c r="AK9" i="1"/>
  <c r="AJ23" i="1" l="1"/>
  <c r="AK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2" i="1"/>
  <c r="AB15" i="1"/>
  <c r="AK16" i="1"/>
  <c r="AJ16" i="1"/>
  <c r="K16" i="1"/>
  <c r="J16" i="1"/>
  <c r="F16" i="1"/>
  <c r="AE8" i="1" l="1"/>
  <c r="AF8" i="1" l="1"/>
  <c r="AB8" i="1"/>
  <c r="AA8" i="1"/>
  <c r="Z8" i="1"/>
  <c r="Y8" i="1"/>
  <c r="K8" i="1"/>
  <c r="AF12" i="1" l="1"/>
  <c r="AE12" i="1"/>
  <c r="AD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J13" i="1" l="1"/>
  <c r="AK13" i="1"/>
  <c r="F13" i="1"/>
  <c r="H13" i="1"/>
  <c r="I13" i="1" l="1"/>
  <c r="F12" i="1"/>
  <c r="J11" i="1" l="1"/>
  <c r="AJ11" i="1" l="1"/>
  <c r="AK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J3" i="1"/>
  <c r="AK3" i="1"/>
  <c r="V14" i="1" l="1"/>
  <c r="AB14" i="1" l="1"/>
  <c r="AA14" i="1"/>
  <c r="Z14" i="1"/>
  <c r="Y14" i="1"/>
  <c r="AD7" i="1"/>
  <c r="AE14" i="1"/>
  <c r="J14" i="1" l="1"/>
  <c r="AH7" i="1"/>
  <c r="AK7" i="1"/>
  <c r="AJ7" i="1"/>
  <c r="I7" i="1" l="1"/>
  <c r="H7" i="1"/>
  <c r="G7" i="1"/>
  <c r="F7" i="1"/>
  <c r="AE4" i="1"/>
  <c r="Z4" i="1" l="1"/>
  <c r="Y4" i="1"/>
  <c r="AB4" i="1" l="1"/>
  <c r="AK14" i="1"/>
  <c r="AJ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K10" i="1" l="1"/>
  <c r="AH10" i="1"/>
  <c r="AJ10" i="1"/>
  <c r="J10" i="1"/>
  <c r="F10" i="1" l="1"/>
  <c r="L4" i="1" l="1"/>
  <c r="R4" i="1"/>
  <c r="V4" i="1"/>
  <c r="T4" i="1"/>
  <c r="AH4" i="1" l="1"/>
  <c r="AK4" i="1"/>
  <c r="AJ4" i="1"/>
  <c r="J4" i="1"/>
  <c r="I4" i="1"/>
  <c r="H4" i="1"/>
  <c r="G4" i="1"/>
  <c r="F4" i="1"/>
  <c r="AH5" i="1" l="1"/>
  <c r="AK5" i="1"/>
  <c r="AJ5" i="1"/>
  <c r="AK15" i="1" l="1"/>
  <c r="AJ15" i="1"/>
  <c r="AK8" i="1" l="1"/>
  <c r="AJ8" i="1"/>
  <c r="AK6" i="1" l="1"/>
  <c r="AJ6" i="1"/>
  <c r="AH6" i="1"/>
  <c r="AJ12" i="1" l="1"/>
  <c r="AK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T1" i="1" s="1"/>
  <c r="R15" i="1" l="1"/>
  <c r="R1" i="1" s="1"/>
  <c r="G15" i="1" l="1"/>
  <c r="I15" i="1" l="1"/>
  <c r="L15" i="1" l="1"/>
  <c r="S15" i="1" l="1"/>
  <c r="S1" i="1" s="1"/>
</calcChain>
</file>

<file path=xl/sharedStrings.xml><?xml version="1.0" encoding="utf-8"?>
<sst xmlns="http://schemas.openxmlformats.org/spreadsheetml/2006/main" count="859" uniqueCount="545">
  <si>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</si>
  <si>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</si>
  <si>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</si>
  <si>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</si>
  <si>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</si>
  <si>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</si>
  <si>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</si>
  <si>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</si>
  <si>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</si>
  <si>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</si>
  <si>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</si>
  <si>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</si>
  <si>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</si>
  <si>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</si>
  <si>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</si>
  <si>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</si>
  <si>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</si>
  <si>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</si>
  <si>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</si>
  <si>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</si>
  <si>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</si>
  <si>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</si>
  <si>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</si>
  <si>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</si>
  <si>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</si>
  <si>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</si>
  <si>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</si>
  <si>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</si>
  <si>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</si>
  <si>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</si>
  <si>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</si>
  <si>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</si>
  <si>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</si>
  <si>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</si>
  <si>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</si>
  <si>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</si>
  <si>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</si>
  <si>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</si>
  <si>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</si>
  <si>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</si>
  <si>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</si>
  <si>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</si>
  <si>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</si>
  <si>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</si>
  <si>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</si>
  <si>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</si>
  <si>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</si>
  <si>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</si>
  <si>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</si>
  <si>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</si>
  <si>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</si>
  <si>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</si>
  <si>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</si>
  <si>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</si>
  <si>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</si>
  <si>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</si>
  <si>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</si>
  <si>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</si>
  <si>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</si>
  <si>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</si>
  <si>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</si>
  <si>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</si>
  <si>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</si>
  <si>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</si>
  <si>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</si>
  <si>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</si>
  <si>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</si>
  <si>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</si>
  <si>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</si>
  <si>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</si>
  <si>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</si>
  <si>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</si>
  <si>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</si>
  <si>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</si>
  <si>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</si>
  <si>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</si>
  <si>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</si>
  <si>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</si>
  <si>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</si>
  <si>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</si>
  <si>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</si>
  <si>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</si>
  <si>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</si>
  <si>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</si>
  <si>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</si>
  <si>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</si>
  <si>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</si>
  <si>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</si>
  <si>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</si>
  <si>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</si>
  <si>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</si>
  <si>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</si>
  <si>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</si>
  <si>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</si>
  <si>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</si>
  <si>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</si>
  <si>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</si>
  <si>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</si>
  <si>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</si>
  <si>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</si>
  <si>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</si>
  <si>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</si>
  <si>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</si>
  <si>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</si>
  <si>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</si>
  <si>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</si>
  <si>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</si>
  <si>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</si>
  <si>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</si>
  <si>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</si>
  <si>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</si>
  <si>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</si>
  <si>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</si>
  <si>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</si>
  <si>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</si>
  <si>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</si>
  <si>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</si>
  <si>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</si>
  <si>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</si>
  <si>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</si>
  <si>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</si>
  <si>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</si>
  <si>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</si>
  <si>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</si>
  <si>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</si>
  <si>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</si>
  <si>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</si>
  <si>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</si>
  <si>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</si>
  <si>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</si>
  <si>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</si>
  <si>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</si>
  <si>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</si>
  <si>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</si>
  <si>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</si>
  <si>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</si>
  <si>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</si>
  <si>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</si>
  <si>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</si>
  <si>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</si>
  <si>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</si>
  <si>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</si>
  <si>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</si>
  <si>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</si>
  <si>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</si>
  <si>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</si>
  <si>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</si>
  <si>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</si>
  <si>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</si>
  <si>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</si>
  <si>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</si>
  <si>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</si>
  <si>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</si>
  <si>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</si>
  <si>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</si>
  <si>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</si>
  <si>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</si>
  <si>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</si>
  <si>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</si>
  <si>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</si>
  <si>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</si>
  <si>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</si>
  <si>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</si>
  <si>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</si>
  <si>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</si>
  <si>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</si>
  <si>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</si>
  <si>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</si>
  <si>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</si>
  <si>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</si>
  <si>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</si>
  <si>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</si>
  <si>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</si>
  <si>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</si>
  <si>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</si>
  <si>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</si>
  <si>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</si>
  <si>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</si>
  <si>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</si>
  <si>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</si>
  <si>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</si>
  <si>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</si>
  <si>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</si>
  <si>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</si>
  <si>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</si>
  <si>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</si>
  <si>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</si>
  <si>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</si>
  <si>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</si>
  <si>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</si>
  <si>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</si>
  <si>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</si>
  <si>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</si>
  <si>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</si>
  <si>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</si>
  <si>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</si>
  <si>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</si>
  <si>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</si>
  <si>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</si>
  <si>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</si>
  <si>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</si>
  <si>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</si>
  <si>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</si>
  <si>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</si>
  <si>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</si>
  <si>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</si>
  <si>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</si>
  <si>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</si>
  <si>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</si>
  <si>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</si>
  <si>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</si>
  <si>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</si>
  <si>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</si>
  <si>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</si>
  <si>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</si>
  <si>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</si>
  <si>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</si>
  <si>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</si>
  <si>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</si>
  <si>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</si>
  <si>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</si>
  <si>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</si>
  <si>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</si>
  <si>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</si>
  <si>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</si>
  <si>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</si>
  <si>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</si>
  <si>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</si>
  <si>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</si>
  <si>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</si>
  <si>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</si>
  <si>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</si>
  <si>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</si>
  <si>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</si>
  <si>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</si>
  <si>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</si>
  <si>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</si>
  <si>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</si>
  <si>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</si>
  <si>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</si>
  <si>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</si>
  <si>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</si>
  <si>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</si>
  <si>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</si>
  <si>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</si>
  <si>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</si>
  <si>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</si>
  <si>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</si>
  <si>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</si>
  <si>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</si>
  <si>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</si>
  <si>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</si>
  <si>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</si>
  <si>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</si>
  <si>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</si>
  <si>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</si>
  <si>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</si>
  <si>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</si>
  <si>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</si>
  <si>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</si>
  <si>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</si>
  <si>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</si>
  <si>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</si>
  <si>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</si>
  <si>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</si>
  <si>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</si>
  <si>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</si>
  <si>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</si>
  <si>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</si>
  <si>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</si>
  <si>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</si>
  <si>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</si>
  <si>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</si>
  <si>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</si>
  <si>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</si>
  <si>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</si>
  <si>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</si>
  <si>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</si>
  <si>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</si>
  <si>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</si>
  <si>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</si>
  <si>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</si>
  <si>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</si>
  <si>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</si>
  <si>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</si>
  <si>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</si>
  <si>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</si>
  <si>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</si>
  <si>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</si>
  <si>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</si>
  <si>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</si>
  <si>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</si>
  <si>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</si>
  <si>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</si>
  <si>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</si>
  <si>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</si>
  <si>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</si>
  <si>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</si>
  <si>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</si>
  <si>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</si>
  <si>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</si>
  <si>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</si>
  <si>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</si>
  <si>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</si>
  <si>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</si>
  <si>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</si>
  <si>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</si>
  <si>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</si>
  <si>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</si>
  <si>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</si>
  <si>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</si>
  <si>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</si>
  <si>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</si>
  <si>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</si>
  <si>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</si>
  <si>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</si>
  <si>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</si>
  <si>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</si>
  <si>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</si>
  <si>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</si>
  <si>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</si>
  <si>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</si>
  <si>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</si>
  <si>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</si>
  <si>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</si>
  <si>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</si>
  <si>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</si>
  <si>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</si>
  <si>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</si>
  <si>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</si>
  <si>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</si>
  <si>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</si>
  <si>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</si>
  <si>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</si>
  <si>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</si>
  <si>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</si>
  <si>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</si>
  <si>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</si>
  <si>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</si>
  <si>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</si>
  <si>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</si>
  <si>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</si>
  <si>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</si>
  <si>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</si>
  <si>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</si>
  <si>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</si>
  <si>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</si>
  <si>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</si>
  <si>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</si>
  <si>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</si>
  <si>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</si>
  <si>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</si>
  <si>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</si>
  <si>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</si>
  <si>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</si>
  <si>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</si>
  <si>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</si>
  <si>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</si>
  <si>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</si>
  <si>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</si>
  <si>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</si>
  <si>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</si>
  <si>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</si>
  <si>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</si>
  <si>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</si>
  <si>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</si>
  <si>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</si>
  <si>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</si>
  <si>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</si>
  <si>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</si>
  <si>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</si>
  <si>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</si>
  <si>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</si>
  <si>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</si>
  <si>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</si>
  <si>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</si>
  <si>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</si>
  <si>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</si>
  <si>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</si>
  <si>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</si>
  <si>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</si>
  <si>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</si>
  <si>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</si>
  <si>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</si>
  <si>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</si>
  <si>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</si>
  <si>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</si>
  <si>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</si>
  <si>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</si>
  <si>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</si>
  <si>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</si>
  <si>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</si>
  <si>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</si>
  <si>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</si>
  <si>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</si>
  <si>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</si>
  <si>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</si>
  <si>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</si>
  <si>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</si>
  <si>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</si>
  <si>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</si>
  <si>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</si>
  <si>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</si>
  <si>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</si>
  <si>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</si>
  <si>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</si>
  <si>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</si>
  <si>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</si>
  <si>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</si>
  <si>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</si>
  <si>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</si>
  <si>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</si>
  <si>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</si>
  <si>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</si>
  <si>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</si>
  <si>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</si>
  <si>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</si>
  <si>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</si>
  <si>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</si>
  <si>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</si>
  <si>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</si>
  <si>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</si>
  <si>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</si>
  <si>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</si>
  <si>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</si>
  <si>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</si>
  <si>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</si>
  <si>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</si>
  <si>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</si>
  <si>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</si>
  <si>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</si>
  <si>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</si>
  <si>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</si>
  <si>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</si>
  <si>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</si>
  <si>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</si>
  <si>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</si>
  <si>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</si>
  <si>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</si>
  <si>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</si>
  <si>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</si>
  <si>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</si>
  <si>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</si>
  <si>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</si>
  <si>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</si>
  <si>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</si>
  <si>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</si>
  <si>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</si>
  <si>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</si>
  <si>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</si>
  <si>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</si>
  <si>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</si>
  <si>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</si>
  <si>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</si>
  <si>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</si>
  <si>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</si>
  <si>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</si>
  <si>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</si>
  <si>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</si>
  <si>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</si>
  <si>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</si>
  <si>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</si>
  <si>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</si>
  <si>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</si>
  <si>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</si>
  <si>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</si>
  <si>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</si>
  <si>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</si>
  <si>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</si>
  <si>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</si>
  <si>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</si>
  <si>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</si>
  <si>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</si>
  <si>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</si>
  <si>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</si>
  <si>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</si>
  <si>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</si>
  <si>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</si>
  <si>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</si>
  <si>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</si>
  <si>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</si>
  <si>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</si>
  <si>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</si>
  <si>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</si>
  <si>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</si>
  <si>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</si>
  <si>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</si>
  <si>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</si>
  <si>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</si>
  <si>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</si>
  <si>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</si>
  <si>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</si>
  <si>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</si>
  <si>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</si>
  <si>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</si>
  <si>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</si>
  <si>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</si>
  <si>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</si>
  <si>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</si>
  <si>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</si>
  <si>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</si>
  <si>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</si>
  <si>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</si>
  <si>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</si>
  <si>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</si>
  <si>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</si>
  <si>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</si>
  <si>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</si>
  <si>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</si>
  <si>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</si>
  <si>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</si>
  <si>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</si>
  <si>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</si>
  <si>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</si>
  <si>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</si>
  <si>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</si>
  <si>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</si>
  <si>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</si>
  <si>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</si>
  <si>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</si>
  <si>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</si>
  <si>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</si>
  <si>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</si>
  <si>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</si>
  <si>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</si>
  <si>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</si>
  <si>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</si>
  <si>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</si>
  <si>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</si>
  <si>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</si>
  <si>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</si>
  <si>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</si>
  <si>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</si>
  <si>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</si>
  <si>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</si>
  <si>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</si>
  <si>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</si>
  <si>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</si>
  <si>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</si>
  <si>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Acquired by £FRAS 2022</t>
  </si>
  <si>
    <t>Collapsed into administration Nov 2022</t>
  </si>
  <si>
    <t>£BRBY</t>
  </si>
  <si>
    <t>£MUL</t>
  </si>
  <si>
    <t>Mulberry Group Plc</t>
  </si>
  <si>
    <t>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</si>
</sst>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3" borderId="0" xfId="0" applyFont="1" applyFill="1"/>
    <xf numFmtId="0" fontId="4" fillId="13" borderId="0" xfId="1" applyFont="1" applyFill="1"/>
    <xf numFmtId="0" fontId="1" fillId="13" borderId="0" xfId="0" applyFont="1" applyFill="1" applyAlignment="1">
      <alignment horizontal="center"/>
    </xf>
    <xf numFmtId="9" fontId="1" fillId="13" borderId="0" xfId="0" applyNumberFormat="1" applyFont="1" applyFill="1" applyAlignment="1">
      <alignment horizontal="center"/>
    </xf>
    <xf numFmtId="165" fontId="1" fillId="13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3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3" borderId="0" xfId="0" applyNumberFormat="1" applyFont="1" applyFill="1" applyAlignment="1">
      <alignment horizontal="right"/>
    </xf>
    <xf numFmtId="15" fontId="1" fillId="13" borderId="0" xfId="0" applyNumberFormat="1" applyFont="1" applyFill="1" applyAlignment="1">
      <alignment horizontal="center"/>
    </xf>
    <xf numFmtId="16" fontId="1" fillId="13" borderId="0" xfId="0" applyNumberFormat="1" applyFont="1" applyFill="1" applyAlignment="1">
      <alignment horizontal="center"/>
    </xf>
    <xf numFmtId="167" fontId="1" fillId="13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4" borderId="0" xfId="0" applyNumberFormat="1" applyFont="1" applyFill="1" applyAlignment="1">
      <alignment horizontal="center"/>
    </xf>
    <xf numFmtId="10" fontId="7" fillId="11" borderId="2" xfId="0" applyNumberFormat="1" applyFont="1" applyFill="1" applyBorder="1" applyAlignment="1">
      <alignment horizontal="right" vertical="top"/>
    </xf>
    <xf numFmtId="0" fontId="3" fillId="15" borderId="2" xfId="1" applyFill="1" applyBorder="1" applyAlignment="1">
      <alignment vertical="top"/>
    </xf>
    <xf numFmtId="0" fontId="6" fillId="15" borderId="2" xfId="0" applyFont="1" applyFill="1" applyBorder="1" applyAlignment="1">
      <alignment vertical="top"/>
    </xf>
    <xf numFmtId="0" fontId="6" fillId="15" borderId="2" xfId="0" applyFont="1" applyFill="1" applyBorder="1" applyAlignment="1">
      <alignment horizontal="center" vertical="top"/>
    </xf>
    <xf numFmtId="0" fontId="6" fillId="15" borderId="2" xfId="0" applyFont="1" applyFill="1" applyBorder="1" applyAlignment="1">
      <alignment horizontal="left" vertical="top"/>
    </xf>
    <xf numFmtId="0" fontId="8" fillId="15" borderId="2" xfId="0" applyFont="1" applyFill="1" applyBorder="1" applyAlignment="1">
      <alignment horizontal="right" vertical="top"/>
    </xf>
    <xf numFmtId="0" fontId="9" fillId="15" borderId="2" xfId="0" applyFont="1" applyFill="1" applyBorder="1" applyAlignment="1">
      <alignment horizontal="right" vertical="top"/>
    </xf>
    <xf numFmtId="10" fontId="8" fillId="15" borderId="2" xfId="0" applyNumberFormat="1" applyFont="1" applyFill="1" applyBorder="1" applyAlignment="1">
      <alignment horizontal="right" vertical="top"/>
    </xf>
    <xf numFmtId="15" fontId="7" fillId="15" borderId="2" xfId="0" applyNumberFormat="1" applyFont="1" applyFill="1" applyBorder="1" applyAlignment="1">
      <alignment horizontal="right" vertical="top"/>
    </xf>
    <xf numFmtId="0" fontId="6" fillId="15" borderId="2" xfId="0" applyFont="1" applyFill="1" applyBorder="1" applyAlignment="1">
      <alignment horizontal="right" vertical="top"/>
    </xf>
    <xf numFmtId="0" fontId="0" fillId="15" borderId="0" xfId="0" applyFill="1"/>
    <xf numFmtId="166" fontId="1" fillId="13" borderId="0" xfId="0" applyNumberFormat="1" applyFont="1" applyFill="1" applyAlignment="1">
      <alignment horizontal="center"/>
    </xf>
    <xf numFmtId="10" fontId="9" fillId="11" borderId="0" xfId="0" applyNumberFormat="1" applyFont="1" applyFill="1" applyAlignment="1">
      <alignment horizontal="right" vertical="top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18.78</v>
          </cell>
        </row>
        <row r="8">
          <cell r="C8">
            <v>947.28198000000009</v>
          </cell>
        </row>
        <row r="11">
          <cell r="C11">
            <v>65.737000000000023</v>
          </cell>
        </row>
        <row r="12">
          <cell r="C12">
            <v>881.54498000000012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-1.1403242455522447</v>
          </cell>
        </row>
        <row r="33">
          <cell r="C33">
            <v>-59.384665735624246</v>
          </cell>
        </row>
        <row r="35">
          <cell r="C35">
            <v>1.4078524676899669</v>
          </cell>
        </row>
        <row r="37">
          <cell r="C37">
            <v>4.2554718831983633</v>
          </cell>
        </row>
        <row r="38">
          <cell r="C38">
            <v>3.3517546100908753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3929.6604000000002</v>
          </cell>
        </row>
        <row r="11">
          <cell r="C11">
            <v>0</v>
          </cell>
        </row>
        <row r="12">
          <cell r="C12">
            <v>3929.6604000000002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26.04</v>
          </cell>
        </row>
        <row r="8">
          <cell r="C8">
            <v>2412.8663999999999</v>
          </cell>
        </row>
        <row r="23">
          <cell r="C23" t="str">
            <v>Philadelphia, PA</v>
          </cell>
        </row>
        <row r="24">
          <cell r="C24">
            <v>1970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89">
          <cell r="P89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60" customFormat="1" ht="15.75" thickBot="1" x14ac:dyDescent="0.3">
      <c r="A5" s="73" t="s">
        <v>259</v>
      </c>
      <c r="B5" s="74" t="s">
        <v>260</v>
      </c>
      <c r="C5" s="75" t="s">
        <v>13</v>
      </c>
      <c r="D5" s="76" t="s">
        <v>243</v>
      </c>
      <c r="E5" s="83" t="s">
        <v>261</v>
      </c>
      <c r="F5" s="83" t="s">
        <v>262</v>
      </c>
      <c r="G5" s="80">
        <v>13.66</v>
      </c>
      <c r="H5" s="80">
        <v>10.33</v>
      </c>
      <c r="I5" s="77">
        <v>1.29</v>
      </c>
      <c r="J5" s="83" t="s">
        <v>263</v>
      </c>
      <c r="K5" s="82">
        <v>0.67410000000000003</v>
      </c>
      <c r="L5" s="79" t="s">
        <v>54</v>
      </c>
      <c r="M5" s="79" t="s">
        <v>264</v>
      </c>
      <c r="N5" s="130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8" customFormat="1" ht="15.75" thickBot="1" x14ac:dyDescent="0.3">
      <c r="A14" s="119" t="s">
        <v>312</v>
      </c>
      <c r="B14" s="120" t="s">
        <v>302</v>
      </c>
      <c r="C14" s="121" t="s">
        <v>31</v>
      </c>
      <c r="D14" s="122" t="s">
        <v>243</v>
      </c>
      <c r="E14" s="123" t="s">
        <v>313</v>
      </c>
      <c r="F14" s="123" t="s">
        <v>314</v>
      </c>
      <c r="G14" s="123">
        <v>17.72</v>
      </c>
      <c r="H14" s="123">
        <v>4.3499999999999996</v>
      </c>
      <c r="I14" s="124">
        <v>1.39</v>
      </c>
      <c r="J14" s="123" t="s">
        <v>315</v>
      </c>
      <c r="K14" s="125">
        <v>0.92459999999999998</v>
      </c>
      <c r="L14" s="126">
        <v>44776</v>
      </c>
      <c r="M14" s="127" t="s">
        <v>316</v>
      </c>
      <c r="N14" s="125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60" customFormat="1" ht="15.75" thickBot="1" x14ac:dyDescent="0.3">
      <c r="A38" s="61" t="s">
        <v>445</v>
      </c>
      <c r="B38" s="62" t="s">
        <v>446</v>
      </c>
      <c r="C38" s="63" t="s">
        <v>13</v>
      </c>
      <c r="D38" s="64" t="s">
        <v>243</v>
      </c>
      <c r="E38" s="67" t="s">
        <v>447</v>
      </c>
      <c r="F38" s="67" t="s">
        <v>448</v>
      </c>
      <c r="G38" s="67">
        <v>28.63</v>
      </c>
      <c r="H38" s="67">
        <v>13.37</v>
      </c>
      <c r="I38" s="67">
        <v>2.92</v>
      </c>
      <c r="J38" s="65" t="s">
        <v>449</v>
      </c>
      <c r="K38" s="118">
        <v>0.4834</v>
      </c>
      <c r="L38" s="70" t="s">
        <v>54</v>
      </c>
      <c r="M38" s="70" t="s">
        <v>450</v>
      </c>
      <c r="N38" s="68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s="60" customFormat="1" ht="15.75" thickBot="1" x14ac:dyDescent="0.3">
      <c r="A12" s="61" t="s">
        <v>92</v>
      </c>
      <c r="B12" s="62" t="s">
        <v>93</v>
      </c>
      <c r="C12" s="63" t="s">
        <v>39</v>
      </c>
      <c r="D12" s="64" t="s">
        <v>32</v>
      </c>
      <c r="E12" s="65" t="s">
        <v>94</v>
      </c>
      <c r="F12" s="65" t="s">
        <v>95</v>
      </c>
      <c r="G12" s="65">
        <v>6.76</v>
      </c>
      <c r="H12" s="65">
        <v>3.27</v>
      </c>
      <c r="I12" s="67">
        <v>1.17</v>
      </c>
      <c r="J12" s="65" t="s">
        <v>96</v>
      </c>
      <c r="K12" s="68">
        <v>0.73499999999999999</v>
      </c>
      <c r="L12" s="71">
        <v>44796</v>
      </c>
      <c r="M12" s="70" t="s">
        <v>97</v>
      </c>
      <c r="N12" s="68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60" customFormat="1" ht="15.75" thickBot="1" x14ac:dyDescent="0.3">
      <c r="A17" s="73" t="s">
        <v>121</v>
      </c>
      <c r="B17" s="74" t="s">
        <v>122</v>
      </c>
      <c r="C17" s="75" t="s">
        <v>31</v>
      </c>
      <c r="D17" s="76" t="s">
        <v>32</v>
      </c>
      <c r="E17" s="80" t="s">
        <v>123</v>
      </c>
      <c r="F17" s="83" t="s">
        <v>124</v>
      </c>
      <c r="G17" s="83">
        <v>4.8899999999999997</v>
      </c>
      <c r="H17" s="83">
        <v>1.94</v>
      </c>
      <c r="I17" s="77">
        <v>2.54</v>
      </c>
      <c r="J17" s="83" t="s">
        <v>125</v>
      </c>
      <c r="K17" s="82">
        <v>1</v>
      </c>
      <c r="L17" s="84">
        <v>44798</v>
      </c>
      <c r="M17" s="79" t="s">
        <v>126</v>
      </c>
      <c r="N17" s="82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L33"/>
  <sheetViews>
    <sheetView tabSelected="1" zoomScaleNormal="1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AB12" sqref="AB12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4" width="9.140625" style="1"/>
    <col min="35" max="35" width="11.7109375" style="1" bestFit="1" customWidth="1"/>
    <col min="36" max="36" width="9.140625" style="1"/>
    <col min="37" max="37" width="20.7109375" style="1" bestFit="1" customWidth="1"/>
    <col min="38" max="38" width="33.85546875" style="1" bestFit="1" customWidth="1"/>
    <col min="39" max="16384" width="9.140625" style="1"/>
  </cols>
  <sheetData>
    <row r="1" spans="1:38" x14ac:dyDescent="0.2">
      <c r="D1" s="1"/>
      <c r="F1" s="133" t="s">
        <v>499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04">
        <f>AVERAGE(R3:R16)</f>
        <v>2.8491600312401912</v>
      </c>
      <c r="S1" s="104">
        <f>AVERAGE(S3:S16)</f>
        <v>13.157317580593297</v>
      </c>
      <c r="T1" s="104">
        <f>AVERAGE(T3:T16)</f>
        <v>2.9712088385071094</v>
      </c>
      <c r="U1" s="88"/>
      <c r="V1" s="117">
        <f t="shared" ref="V1:AB1" si="0">AVERAGE(V3:V16)</f>
        <v>0.14757665631622019</v>
      </c>
      <c r="W1" s="117">
        <f t="shared" si="0"/>
        <v>6.1523225008126764E-2</v>
      </c>
      <c r="X1" s="117">
        <f t="shared" si="0"/>
        <v>0.10798125173689554</v>
      </c>
      <c r="Y1" s="117">
        <f t="shared" si="0"/>
        <v>0.48432175347222012</v>
      </c>
      <c r="Z1" s="117">
        <f t="shared" si="0"/>
        <v>4.9951679230404444E-2</v>
      </c>
      <c r="AA1" s="117">
        <f t="shared" si="0"/>
        <v>3.12313565316132E-2</v>
      </c>
      <c r="AB1" s="117">
        <f t="shared" si="0"/>
        <v>5.3593714314302675E-2</v>
      </c>
      <c r="AC1" s="88"/>
      <c r="AD1" s="90" t="s">
        <v>537</v>
      </c>
      <c r="AE1" s="89">
        <f>AVERAGE(AE3:AE16)</f>
        <v>0.27399949594534373</v>
      </c>
      <c r="AF1" s="89">
        <f>AVERAGE(AF3:AF16)</f>
        <v>9.5463854963873038E-2</v>
      </c>
      <c r="AG1" s="89">
        <f>AVERAGE(AG3:AG16)</f>
        <v>0.22493044006917443</v>
      </c>
      <c r="AH1" s="91">
        <f>AVERAGE(AH3:AH16)</f>
        <v>666.82189783024887</v>
      </c>
      <c r="AI1" s="135">
        <f>AVERAGE(AI3:AI16)</f>
        <v>3.8410007956855852</v>
      </c>
      <c r="AJ1" s="91"/>
    </row>
    <row r="2" spans="1:38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544</v>
      </c>
      <c r="AJ2" s="5" t="s">
        <v>521</v>
      </c>
      <c r="AK2" s="5" t="s">
        <v>522</v>
      </c>
      <c r="AL2" s="2" t="s">
        <v>538</v>
      </c>
    </row>
    <row r="3" spans="1:38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6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J3" s="4">
        <f>[1]Main!$C$24</f>
        <v>1964</v>
      </c>
      <c r="AK3" s="4" t="str">
        <f>[1]Main!$C$23</f>
        <v>Beaverton, OR</v>
      </c>
    </row>
    <row r="4" spans="1:38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6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57"/>
      <c r="AJ4" s="4">
        <f>[2]Main!$C$24</f>
        <v>1899</v>
      </c>
      <c r="AK4" s="4" t="str">
        <f>[2]Main!$C$23</f>
        <v>Denver, US</v>
      </c>
    </row>
    <row r="5" spans="1:38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57"/>
      <c r="AJ5" s="4">
        <f>[3]Main!$C$24</f>
        <v>1864</v>
      </c>
      <c r="AK5" s="4" t="str">
        <f>[3]Main!$C$23</f>
        <v>Leicester, UK</v>
      </c>
    </row>
    <row r="6" spans="1:38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6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57"/>
      <c r="AJ6" s="4">
        <f>[4]Main!$C$24</f>
        <v>1981</v>
      </c>
      <c r="AK6" s="4" t="str">
        <f>[4]Main!$C$23</f>
        <v>Bury, UK</v>
      </c>
    </row>
    <row r="7" spans="1:38" s="97" customFormat="1" x14ac:dyDescent="0.2">
      <c r="B7" s="98" t="s">
        <v>526</v>
      </c>
      <c r="C7" s="97" t="s">
        <v>527</v>
      </c>
      <c r="D7" s="99" t="s">
        <v>13</v>
      </c>
      <c r="E7" s="99" t="s">
        <v>15</v>
      </c>
      <c r="F7" s="100">
        <f>[5]Main!$C$6</f>
        <v>8.23</v>
      </c>
      <c r="G7" s="101">
        <f>[5]Main!$C$8</f>
        <v>3929.6604000000002</v>
      </c>
      <c r="H7" s="101">
        <f>[5]Main!$C$11</f>
        <v>0</v>
      </c>
      <c r="I7" s="101">
        <f>[5]Main!$C$12</f>
        <v>3929.6604000000002</v>
      </c>
      <c r="K7" s="99"/>
      <c r="Q7" s="99"/>
      <c r="U7" s="102"/>
      <c r="V7" s="99"/>
      <c r="W7" s="99"/>
      <c r="X7" s="99"/>
      <c r="AD7" s="101">
        <f>[5]Main!$C$26</f>
        <v>0</v>
      </c>
      <c r="AE7" s="99"/>
      <c r="AF7" s="99"/>
      <c r="AG7" s="99"/>
      <c r="AH7" s="99">
        <f>[5]Main!$C$25</f>
        <v>0</v>
      </c>
      <c r="AI7" s="99"/>
      <c r="AJ7" s="99">
        <f>[5]Main!$C$24</f>
        <v>1982</v>
      </c>
      <c r="AK7" s="99" t="str">
        <f>[5]Main!$C$23</f>
        <v>Mansfiled, UK</v>
      </c>
    </row>
    <row r="8" spans="1:38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6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57"/>
      <c r="AJ8" s="4">
        <f>[6]Main!$C$24</f>
        <v>1996</v>
      </c>
      <c r="AK8" s="4" t="str">
        <f>[6]Main!$C$23</f>
        <v>Baltimore, US</v>
      </c>
    </row>
    <row r="9" spans="1:38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21.8736</v>
      </c>
      <c r="G9" s="49">
        <f>[7]Main!$C$8*$E$27</f>
        <v>2026.8077759999999</v>
      </c>
      <c r="H9" s="49"/>
      <c r="I9" s="4"/>
      <c r="J9" s="59"/>
      <c r="K9" s="56"/>
      <c r="L9" s="56"/>
      <c r="M9" s="56"/>
      <c r="N9" s="56"/>
      <c r="U9" s="53"/>
      <c r="AD9" s="56"/>
      <c r="AJ9" s="4">
        <f>[7]Main!$C$24</f>
        <v>1970</v>
      </c>
      <c r="AK9" s="4" t="str">
        <f>[7]Main!$C$23</f>
        <v>Philadelphia, PA</v>
      </c>
    </row>
    <row r="10" spans="1:38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1955.5551791999997</v>
      </c>
      <c r="H10" s="49">
        <f>[8]Main!$C$11*$E$27</f>
        <v>-233.77871999999999</v>
      </c>
      <c r="I10" s="49">
        <f>[8]Main!$C$12*$E$27</f>
        <v>2189.3338991999999</v>
      </c>
      <c r="J10" s="4" t="str">
        <f>[8]Main!$C$28</f>
        <v>Q222</v>
      </c>
      <c r="K10" s="86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352.48583999999988</v>
      </c>
      <c r="P10" s="56">
        <f>'[8]Financial Model'!$Y$17*F27</f>
        <v>-249.21071428571454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53"/>
      <c r="V10" s="53">
        <f>'[8]Financial Model'!$Z$21</f>
        <v>0.33299379683036578</v>
      </c>
      <c r="X10" s="4"/>
      <c r="Y10" s="53">
        <f>'[8]Financial Model'!$P$24</f>
        <v>0.30883030470969619</v>
      </c>
      <c r="Z10" s="53">
        <f>'[8]Financial Model'!$P$25</f>
        <v>1.1696619047778077E-2</v>
      </c>
      <c r="AA10" s="53">
        <f>'[8]Financial Model'!$P$26</f>
        <v>-3.5443743719347866E-2</v>
      </c>
      <c r="AB10" s="53">
        <f>'[8]Financial Model'!$P$27</f>
        <v>0.10849393290506794</v>
      </c>
      <c r="AD10" s="56">
        <f>[8]Main!$C$26*E27</f>
        <v>577.11864000000003</v>
      </c>
      <c r="AE10" s="53">
        <f>'[8]Financial Model'!$P$72</f>
        <v>0.36452124796676122</v>
      </c>
      <c r="AF10" s="53">
        <f>'[8]Financial Model'!$P$73</f>
        <v>7.2511361970386545E-3</v>
      </c>
      <c r="AG10" s="53">
        <f>'[8]Financial Model'!$P$89</f>
        <v>0.13644925222077642</v>
      </c>
      <c r="AH10" s="57">
        <f>[8]Main!$C$25</f>
        <v>1160</v>
      </c>
      <c r="AI10" s="57"/>
      <c r="AJ10" s="4">
        <f>[8]Main!$C$24</f>
        <v>1977</v>
      </c>
      <c r="AK10" s="4" t="str">
        <f>[8]Main!$C$23</f>
        <v>Pittsburgh, US</v>
      </c>
    </row>
    <row r="11" spans="1:38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134">
        <f>[9]Main!$C$42</f>
        <v>3.5843551695103639</v>
      </c>
      <c r="AJ11" s="4">
        <f>[9]Main!$C$24</f>
        <v>2000</v>
      </c>
      <c r="AK11" s="85" t="str">
        <f>[9]Main!$C$23</f>
        <v>London, UK</v>
      </c>
    </row>
    <row r="12" spans="1:38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15.7752</v>
      </c>
      <c r="G12" s="49">
        <f>[10]Main!$C$8*E27</f>
        <v>795.71686320000003</v>
      </c>
      <c r="H12" s="49">
        <f>[10]Main!$C$11*E27</f>
        <v>55.219080000000019</v>
      </c>
      <c r="I12" s="49">
        <f>[10]Main!$C$12*E27</f>
        <v>740.49778320000007</v>
      </c>
      <c r="J12" s="4" t="str">
        <f>[10]Main!$C$27</f>
        <v>Q222</v>
      </c>
      <c r="K12" s="86">
        <f>[10]Main!$D$27</f>
        <v>44798</v>
      </c>
      <c r="L12" s="50">
        <f>[10]Main!$C$32</f>
        <v>-1.1403242455522447</v>
      </c>
      <c r="M12" s="50">
        <f>[10]Main!$C$38</f>
        <v>3.3517546100908753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-59.384665735624246</v>
      </c>
      <c r="S12" s="52">
        <f>[10]Main!$C$37</f>
        <v>4.2554718831983633</v>
      </c>
      <c r="T12" s="52">
        <f>[10]Main!$C$35</f>
        <v>1.4078524676899669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594.74015999999995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57"/>
      <c r="AJ12" s="4">
        <f>[10]Main!$C$24</f>
        <v>1892</v>
      </c>
      <c r="AK12" s="4" t="str">
        <f>[10]Main!$C$23</f>
        <v>Ohio, US</v>
      </c>
    </row>
    <row r="13" spans="1:38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53"/>
      <c r="AJ13" s="4">
        <f>[11]Main!$C$24</f>
        <v>2006</v>
      </c>
      <c r="AK13" s="4" t="str">
        <f>[11]Main!$C$23</f>
        <v>Manchester, UK</v>
      </c>
    </row>
    <row r="14" spans="1:38" s="109" customFormat="1" x14ac:dyDescent="0.2">
      <c r="B14" s="110" t="s">
        <v>391</v>
      </c>
      <c r="C14" s="109" t="s">
        <v>392</v>
      </c>
      <c r="D14" s="111" t="s">
        <v>13</v>
      </c>
      <c r="E14" s="111" t="s">
        <v>15</v>
      </c>
      <c r="F14" s="112">
        <f>[12]Main!$C$6</f>
        <v>1.0900000000000001</v>
      </c>
      <c r="G14" s="113">
        <f>[12]Main!$C$8</f>
        <v>201.23580000000001</v>
      </c>
      <c r="H14" s="114">
        <f>[12]Main!$C$11</f>
        <v>14.5</v>
      </c>
      <c r="I14" s="114">
        <f>[12]Main!$C$12</f>
        <v>186.73580000000001</v>
      </c>
      <c r="J14" s="111" t="str">
        <f>[12]Main!$C$28</f>
        <v>FY22</v>
      </c>
      <c r="K14" s="111"/>
      <c r="Q14" s="111"/>
      <c r="U14" s="115"/>
      <c r="V14" s="115">
        <f>'[12]Financial Model'!$T$23</f>
        <v>0.20588400900900905</v>
      </c>
      <c r="W14" s="111"/>
      <c r="X14" s="111"/>
      <c r="Y14" s="115">
        <f>'[12]Financial Model'!$T$26</f>
        <v>0.55486890948567691</v>
      </c>
      <c r="Z14" s="115">
        <f>'[12]Financial Model'!$T$27</f>
        <v>-8.0487007680993719E-2</v>
      </c>
      <c r="AA14" s="115">
        <f>'[12]Financial Model'!$T$28</f>
        <v>-8.2866014521513875E-2</v>
      </c>
      <c r="AB14" s="115">
        <f>'[12]Financial Model'!$T$29</f>
        <v>0.19258416742493159</v>
      </c>
      <c r="AD14" s="116">
        <f>[12]Main!$C$26</f>
        <v>103.071</v>
      </c>
      <c r="AE14" s="115">
        <f>'[12]Financial Model'!$T$74</f>
        <v>0.17328795191694746</v>
      </c>
      <c r="AF14" s="111"/>
      <c r="AG14" s="115">
        <f>'[12]Financial Model'!$T$76</f>
        <v>0.24063455746737328</v>
      </c>
      <c r="AH14" s="111">
        <f>[12]Main!$C$25</f>
        <v>85</v>
      </c>
      <c r="AI14" s="111"/>
      <c r="AJ14" s="111">
        <f>[12]Main!$C$24</f>
        <v>1987</v>
      </c>
      <c r="AK14" s="111" t="str">
        <f>[12]Main!$C$23</f>
        <v>London, UK</v>
      </c>
      <c r="AL14" s="109" t="s">
        <v>539</v>
      </c>
    </row>
    <row r="15" spans="1:38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6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134">
        <f>[13]Main!$C$42</f>
        <v>4.097646421860806</v>
      </c>
      <c r="AJ15" s="4">
        <f>[13]Main!$C$25</f>
        <v>1985</v>
      </c>
      <c r="AK15" s="4" t="str">
        <f>[13]Main!$C$24</f>
        <v>Cheltenham, UK</v>
      </c>
    </row>
    <row r="16" spans="1:38" s="92" customFormat="1" x14ac:dyDescent="0.2">
      <c r="B16" s="93" t="s">
        <v>445</v>
      </c>
      <c r="C16" s="92" t="s">
        <v>446</v>
      </c>
      <c r="D16" s="94" t="s">
        <v>489</v>
      </c>
      <c r="E16" s="94" t="s">
        <v>15</v>
      </c>
      <c r="F16" s="105">
        <f>[14]Main!$C$6</f>
        <v>9.2200000000000004E-2</v>
      </c>
      <c r="G16" s="103">
        <f>[14]Main!$C$8</f>
        <v>10.16966</v>
      </c>
      <c r="H16" s="103">
        <f>[14]Main!$C$11</f>
        <v>-6.5050000000000026</v>
      </c>
      <c r="I16" s="103">
        <f>[14]Main!$C$12</f>
        <v>16.674660000000003</v>
      </c>
      <c r="J16" s="106" t="str">
        <f>[14]Main!$C$28</f>
        <v>H122</v>
      </c>
      <c r="K16" s="107">
        <f>[14]Main!$D$28</f>
        <v>44600</v>
      </c>
      <c r="L16" s="129">
        <f>[14]Main!$C$36</f>
        <v>8.2793743793445529</v>
      </c>
      <c r="M16" s="96"/>
      <c r="N16" s="96"/>
      <c r="O16" s="96">
        <f>'[14]Financial Model'!$S$15</f>
        <v>0.89299999999999291</v>
      </c>
      <c r="P16" s="96">
        <f>'[14]Financial Model'!$R$15</f>
        <v>-20.27600000000001</v>
      </c>
      <c r="R16" s="108">
        <f>[14]Main!$C$37</f>
        <v>5.0560966752336345</v>
      </c>
      <c r="S16" s="108">
        <f>'[14]Financial Model'!$S$80</f>
        <v>3.3990470378499706</v>
      </c>
      <c r="T16" s="108">
        <f>[14]Main!$C$33</f>
        <v>0.20742534761796225</v>
      </c>
      <c r="U16" s="94"/>
      <c r="V16" s="95">
        <f>'[14]Financial Model'!$S$19</f>
        <v>4.2969896440400834E-2</v>
      </c>
      <c r="W16" s="94"/>
      <c r="Y16" s="95">
        <f>'[14]Financial Model'!$K$22</f>
        <v>0.50353090223741115</v>
      </c>
      <c r="Z16" s="95">
        <f>'[14]Financial Model'!$K$23</f>
        <v>2.5932384981739429E-2</v>
      </c>
      <c r="AA16" s="95">
        <f>'[14]Financial Model'!$K$24</f>
        <v>1.7767906718489747E-2</v>
      </c>
      <c r="AB16" s="95">
        <f>'[14]Financial Model'!$K$25</f>
        <v>0.10901960784313716</v>
      </c>
      <c r="AD16" s="96">
        <f>[14]Main!$C$26</f>
        <v>61.878</v>
      </c>
      <c r="AE16" s="95">
        <f>'[14]Financial Model'!$K$66</f>
        <v>0.44899775196702874</v>
      </c>
      <c r="AF16" s="95">
        <f>'[14]Financial Model'!$K$67</f>
        <v>0.32717055593685651</v>
      </c>
      <c r="AG16" s="95">
        <f>'[14]Financial Model'!$S$82</f>
        <v>0.23428321616827549</v>
      </c>
      <c r="AJ16" s="94">
        <f>[14]Main!$C$24</f>
        <v>1989</v>
      </c>
      <c r="AK16" s="92" t="str">
        <f>[14]Main!$C$23</f>
        <v>Market Harborough, UK</v>
      </c>
      <c r="AL16" s="92" t="s">
        <v>540</v>
      </c>
    </row>
    <row r="17" spans="2:37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57"/>
      <c r="AJ17" s="4"/>
      <c r="AK17" s="4"/>
    </row>
    <row r="18" spans="2:37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</row>
    <row r="19" spans="2:37" x14ac:dyDescent="0.2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7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37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7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7" x14ac:dyDescent="0.2">
      <c r="B23" s="3" t="s">
        <v>541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5">
        <f>[15]Main!$C$12</f>
        <v>8041.1028800000004</v>
      </c>
      <c r="J23" s="1"/>
      <c r="K23" s="1"/>
      <c r="M23" s="56"/>
      <c r="N23" s="56"/>
      <c r="AJ23" s="4">
        <f>[15]Main!$C$24</f>
        <v>1856</v>
      </c>
      <c r="AK23" s="4" t="str">
        <f>[15]Main!$C$23</f>
        <v>London, UK</v>
      </c>
    </row>
    <row r="24" spans="2:37" x14ac:dyDescent="0.2">
      <c r="B24" s="1" t="s">
        <v>542</v>
      </c>
      <c r="C24" s="1" t="s">
        <v>543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</row>
    <row r="25" spans="2:37" x14ac:dyDescent="0.2">
      <c r="G25" s="49"/>
      <c r="I25" s="4"/>
      <c r="J25" s="1"/>
      <c r="K25" s="1"/>
      <c r="M25" s="56"/>
      <c r="N25" s="56"/>
    </row>
    <row r="26" spans="2:37" x14ac:dyDescent="0.2">
      <c r="D26" s="131" t="s">
        <v>495</v>
      </c>
      <c r="E26" s="132"/>
      <c r="F26" s="42" t="s">
        <v>496</v>
      </c>
      <c r="G26" s="49"/>
      <c r="I26" s="4"/>
      <c r="J26" s="1"/>
      <c r="K26" s="1"/>
    </row>
    <row r="27" spans="2:37" x14ac:dyDescent="0.2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7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7" x14ac:dyDescent="0.2">
      <c r="G29" s="49"/>
    </row>
    <row r="30" spans="2:37" x14ac:dyDescent="0.2">
      <c r="G30" s="49"/>
    </row>
    <row r="31" spans="2:37" x14ac:dyDescent="0.2">
      <c r="G31" s="49"/>
    </row>
    <row r="32" spans="2:37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2022-11-20T14:52:20Z</dcterms:modified>
</cp:coreProperties>
</file>