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5873D97-D29C-4D88-816B-06531D9366DD}" xr6:coauthVersionLast="36" xr6:coauthVersionMax="36" xr10:uidLastSave="{00000000-0000-0000-0000-000000000000}"/>
  <bookViews>
    <workbookView xWindow="0" yWindow="0" windowWidth="21570" windowHeight="7980" activeTab="1" xr2:uid="{5E4D6509-12BB-42E6-9952-4B32877F48D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2" l="1"/>
  <c r="P85" i="2"/>
  <c r="Q83" i="2"/>
  <c r="P83" i="2"/>
  <c r="Q75" i="2"/>
  <c r="P75" i="2"/>
  <c r="Q79" i="2"/>
  <c r="Q78" i="2"/>
  <c r="P78" i="2"/>
  <c r="P79" i="2" s="1"/>
  <c r="Q73" i="2"/>
  <c r="P73" i="2"/>
  <c r="Q72" i="2"/>
  <c r="Q74" i="2" s="1"/>
  <c r="P72" i="2"/>
  <c r="P74" i="2" s="1"/>
  <c r="R69" i="2"/>
  <c r="Q69" i="2"/>
  <c r="Q66" i="2"/>
  <c r="Q67" i="2" s="1"/>
  <c r="P66" i="2"/>
  <c r="P67" i="2" s="1"/>
  <c r="Q64" i="2"/>
  <c r="P64" i="2"/>
  <c r="P61" i="2"/>
  <c r="P55" i="2"/>
  <c r="Q61" i="2"/>
  <c r="Q55" i="2"/>
  <c r="P48" i="2"/>
  <c r="P41" i="2"/>
  <c r="P34" i="2"/>
  <c r="Q48" i="2"/>
  <c r="Q41" i="2"/>
  <c r="Q34" i="2"/>
  <c r="Q20" i="2"/>
  <c r="P20" i="2"/>
  <c r="P29" i="2"/>
  <c r="P28" i="2"/>
  <c r="P27" i="2"/>
  <c r="P26" i="2"/>
  <c r="Q29" i="2"/>
  <c r="Q28" i="2"/>
  <c r="Q27" i="2"/>
  <c r="Q26" i="2"/>
  <c r="Q13" i="2"/>
  <c r="Q17" i="2" s="1"/>
  <c r="Q19" i="2" s="1"/>
  <c r="Q6" i="2"/>
  <c r="P6" i="2"/>
  <c r="P13" i="2" s="1"/>
  <c r="P17" i="2" s="1"/>
  <c r="P19" i="2" s="1"/>
  <c r="R23" i="2"/>
  <c r="Q23" i="2"/>
  <c r="S83" i="2" l="1"/>
  <c r="S79" i="2"/>
  <c r="S78" i="2"/>
  <c r="R78" i="2"/>
  <c r="S75" i="2"/>
  <c r="R75" i="2"/>
  <c r="C34" i="1"/>
  <c r="T85" i="2"/>
  <c r="S85" i="2"/>
  <c r="U85" i="2"/>
  <c r="C25" i="1"/>
  <c r="T83" i="2"/>
  <c r="U83" i="2"/>
  <c r="C32" i="1"/>
  <c r="R74" i="2"/>
  <c r="R73" i="2"/>
  <c r="R72" i="2"/>
  <c r="S69" i="2"/>
  <c r="R67" i="2"/>
  <c r="R83" i="2" s="1"/>
  <c r="R66" i="2"/>
  <c r="R64" i="2"/>
  <c r="R61" i="2"/>
  <c r="R55" i="2"/>
  <c r="R48" i="2"/>
  <c r="R41" i="2"/>
  <c r="R34" i="2"/>
  <c r="S73" i="2"/>
  <c r="S72" i="2"/>
  <c r="S74" i="2" s="1"/>
  <c r="T69" i="2"/>
  <c r="S67" i="2"/>
  <c r="S66" i="2"/>
  <c r="S64" i="2"/>
  <c r="S61" i="2"/>
  <c r="S55" i="2"/>
  <c r="S48" i="2"/>
  <c r="S41" i="2"/>
  <c r="S34" i="2"/>
  <c r="S20" i="2"/>
  <c r="T23" i="2"/>
  <c r="S23" i="2"/>
  <c r="S29" i="2"/>
  <c r="S28" i="2"/>
  <c r="S27" i="2"/>
  <c r="R27" i="2"/>
  <c r="S26" i="2"/>
  <c r="R26" i="2"/>
  <c r="R17" i="2"/>
  <c r="R19" i="2" s="1"/>
  <c r="R13" i="2"/>
  <c r="R6" i="2"/>
  <c r="S19" i="2"/>
  <c r="S17" i="2"/>
  <c r="S13" i="2"/>
  <c r="S6" i="2"/>
  <c r="D11" i="1"/>
  <c r="D10" i="1"/>
  <c r="D9" i="1"/>
  <c r="D7" i="1"/>
  <c r="C10" i="1"/>
  <c r="C9" i="1"/>
  <c r="U79" i="2"/>
  <c r="T78" i="2"/>
  <c r="U78" i="2"/>
  <c r="U75" i="2"/>
  <c r="R79" i="2" l="1"/>
  <c r="R28" i="2"/>
  <c r="R20" i="2"/>
  <c r="R85" i="2" s="1"/>
  <c r="R29" i="2"/>
  <c r="U69" i="2"/>
  <c r="T73" i="2"/>
  <c r="T72" i="2"/>
  <c r="T74" i="2" s="1"/>
  <c r="T75" i="2" s="1"/>
  <c r="T79" i="2" s="1"/>
  <c r="T61" i="2"/>
  <c r="T64" i="2" s="1"/>
  <c r="T55" i="2"/>
  <c r="T34" i="2"/>
  <c r="T41" i="2" s="1"/>
  <c r="T48" i="2" s="1"/>
  <c r="T66" i="2" s="1"/>
  <c r="T67" i="2" s="1"/>
  <c r="U73" i="2"/>
  <c r="U72" i="2"/>
  <c r="U74" i="2" s="1"/>
  <c r="U55" i="2"/>
  <c r="U61" i="2" s="1"/>
  <c r="U64" i="2" s="1"/>
  <c r="U34" i="2"/>
  <c r="U41" i="2" s="1"/>
  <c r="U48" i="2" s="1"/>
  <c r="U66" i="2" s="1"/>
  <c r="U67" i="2" s="1"/>
  <c r="U26" i="2"/>
  <c r="U23" i="2"/>
  <c r="T6" i="2"/>
  <c r="T26" i="2" s="1"/>
  <c r="U6" i="2"/>
  <c r="U13" i="2" s="1"/>
  <c r="C11" i="1"/>
  <c r="C8" i="1"/>
  <c r="C12" i="1" l="1"/>
  <c r="U27" i="2"/>
  <c r="U17" i="2"/>
  <c r="U19" i="2" s="1"/>
  <c r="T13" i="2"/>
  <c r="T17" i="2" l="1"/>
  <c r="T19" i="2" s="1"/>
  <c r="T27" i="2"/>
  <c r="U29" i="2"/>
  <c r="U28" i="2"/>
  <c r="U20" i="2"/>
  <c r="T20" i="2" l="1"/>
  <c r="T29" i="2"/>
  <c r="T28" i="2"/>
</calcChain>
</file>

<file path=xl/sharedStrings.xml><?xml version="1.0" encoding="utf-8"?>
<sst xmlns="http://schemas.openxmlformats.org/spreadsheetml/2006/main" count="127" uniqueCount="103">
  <si>
    <t>£VOD</t>
  </si>
  <si>
    <t>Vodafone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</si>
  <si>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</si>
  <si>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</si>
  <si>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</si>
  <si>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</si>
  <si>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</si>
  <si>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</si>
  <si>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</si>
  <si>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</si>
  <si>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</si>
  <si>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</si>
  <si>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</si>
  <si>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</si>
  <si>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Update</t>
  </si>
  <si>
    <t>IR</t>
  </si>
  <si>
    <t>P/B</t>
  </si>
  <si>
    <t>P/S</t>
  </si>
  <si>
    <t>P/E</t>
  </si>
  <si>
    <t>Link</t>
  </si>
  <si>
    <t>CEO</t>
  </si>
  <si>
    <t>CFO</t>
  </si>
  <si>
    <t>Key Events</t>
  </si>
  <si>
    <t>Vodafone rumoured to be in deal with chinese owned Three mobile but doubts about CMA approval</t>
  </si>
  <si>
    <t>Nicholas Reed</t>
  </si>
  <si>
    <t>Margherita Valle</t>
  </si>
  <si>
    <t>Director</t>
  </si>
  <si>
    <t>CTO</t>
  </si>
  <si>
    <t>Johan Wibergh</t>
  </si>
  <si>
    <t>Newbury, UK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</si>
  <si>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</si>
  <si>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</si>
  <si>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</si>
  <si>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</si>
  <si>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</si>
  <si>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</si>
  <si>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</si>
  <si>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</si>
  <si>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</si>
  <si>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</si>
  <si>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</si>
  <si>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</si>
  <si>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</si>
  <si>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</si>
  <si>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</si>
  <si>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</si>
  <si>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</si>
  <si>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</si>
  <si>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</si>
  <si>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</si>
  <si>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</si>
  <si>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Revenue</t>
  </si>
  <si>
    <t>COGS</t>
  </si>
  <si>
    <t>Gross Profit</t>
  </si>
  <si>
    <t>Sales &amp; Distribution</t>
  </si>
  <si>
    <t>Adminsitrative</t>
  </si>
  <si>
    <t>Credit Losses on Financial</t>
  </si>
  <si>
    <t>Share of Joint Ventures</t>
  </si>
  <si>
    <t>Impairment Losses</t>
  </si>
  <si>
    <t>Other Income</t>
  </si>
  <si>
    <t>Operating Income</t>
  </si>
  <si>
    <t>(EUR million)</t>
  </si>
  <si>
    <t>Non-Operating Expense</t>
  </si>
  <si>
    <t>Investment Income</t>
  </si>
  <si>
    <t>Financing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</si>
  <si>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</si>
  <si>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</si>
  <si>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</si>
  <si>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</si>
  <si>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</si>
  <si>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</si>
  <si>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</si>
  <si>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</si>
  <si>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</si>
  <si>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Balance Sheet</t>
  </si>
  <si>
    <t>Goodwill+Intangibles</t>
  </si>
  <si>
    <t>PP&amp;E</t>
  </si>
  <si>
    <t>Investments in Joint Ventures</t>
  </si>
  <si>
    <t>Other Investments</t>
  </si>
  <si>
    <t>Deferred Taxes</t>
  </si>
  <si>
    <t>Post-Employment Benefits</t>
  </si>
  <si>
    <t>Trade &amp; A/R</t>
  </si>
  <si>
    <t>Total NCA</t>
  </si>
  <si>
    <t>Inventory</t>
  </si>
  <si>
    <t>Assets Held For Sale</t>
  </si>
  <si>
    <t>Assets</t>
  </si>
  <si>
    <t>Borrowings</t>
  </si>
  <si>
    <t>Provisions</t>
  </si>
  <si>
    <t>Trade &amp; A/P</t>
  </si>
  <si>
    <t>Liabilities</t>
  </si>
  <si>
    <t>TCL</t>
  </si>
  <si>
    <t>S/E</t>
  </si>
  <si>
    <t>S/E+L</t>
  </si>
  <si>
    <t>Book Value</t>
  </si>
  <si>
    <t>Book Value per Share</t>
  </si>
  <si>
    <t>Inventory Y/Y</t>
  </si>
  <si>
    <t>Inventory H/H</t>
  </si>
  <si>
    <t>Put Option Agreements</t>
  </si>
  <si>
    <t>Share Price</t>
  </si>
  <si>
    <t>H123</t>
  </si>
  <si>
    <t>EURGBP</t>
  </si>
  <si>
    <t>Net Cash (GBP)</t>
  </si>
  <si>
    <t>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</si>
</sst>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0" fontId="8" fillId="0" borderId="0" xfId="0" applyFont="1" applyAlignment="1">
      <alignment horizontal="left"/>
    </xf>
    <xf numFmtId="3" fontId="2" fillId="0" borderId="0" xfId="0" applyNumberFormat="1" applyFont="1"/>
    <xf numFmtId="3" fontId="1" fillId="0" borderId="0" xfId="0" applyNumberFormat="1" applyFont="1"/>
    <xf numFmtId="0" fontId="5" fillId="0" borderId="0" xfId="1" applyFont="1" applyAlignment="1">
      <alignment horizontal="right"/>
    </xf>
    <xf numFmtId="9" fontId="2" fillId="0" borderId="0" xfId="0" applyNumberFormat="1" applyFont="1"/>
    <xf numFmtId="9" fontId="1" fillId="0" borderId="0" xfId="0" applyNumberFormat="1" applyFont="1"/>
    <xf numFmtId="0" fontId="9" fillId="0" borderId="0" xfId="0" applyFont="1"/>
    <xf numFmtId="0" fontId="10" fillId="0" borderId="0" xfId="0" applyFont="1"/>
    <xf numFmtId="0" fontId="10" fillId="5" borderId="0" xfId="0" applyFont="1" applyFill="1"/>
    <xf numFmtId="3" fontId="10" fillId="0" borderId="0" xfId="0" applyNumberFormat="1" applyFont="1"/>
    <xf numFmtId="0" fontId="1" fillId="0" borderId="9" xfId="0" applyFont="1" applyBorder="1"/>
    <xf numFmtId="0" fontId="1" fillId="0" borderId="10" xfId="0" applyFont="1" applyBorder="1"/>
    <xf numFmtId="0" fontId="2" fillId="6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5" borderId="10" xfId="0" applyFont="1" applyFill="1" applyBorder="1"/>
    <xf numFmtId="3" fontId="1" fillId="0" borderId="10" xfId="0" applyNumberFormat="1" applyFont="1" applyBorder="1"/>
    <xf numFmtId="164" fontId="1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76200</xdr:rowOff>
    </xdr:from>
    <xdr:to>
      <xdr:col>6</xdr:col>
      <xdr:colOff>73399</xdr:colOff>
      <xdr:row>2</xdr:row>
      <xdr:rowOff>180975</xdr:rowOff>
    </xdr:to>
    <xdr:pic>
      <xdr:nvPicPr>
        <xdr:cNvPr id="2" name="Picture 1" descr="Vodafone 2017 logo.svg">
          <a:extLst>
            <a:ext uri="{FF2B5EF4-FFF2-40B4-BE49-F238E27FC236}">
              <a16:creationId xmlns:a16="http://schemas.microsoft.com/office/drawing/2014/main" id="{FB4B9C3A-E38B-47DE-9595-6B004FD6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6200"/>
          <a:ext cx="172122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115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140CE0-2F6A-4DD8-8DDF-B31982B26C42}"/>
            </a:ext>
          </a:extLst>
        </xdr:cNvPr>
        <xdr:cNvCxnSpPr/>
      </xdr:nvCxnSpPr>
      <xdr:spPr>
        <a:xfrm>
          <a:off x="13668375" y="0"/>
          <a:ext cx="0" cy="18630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0</xdr:row>
      <xdr:rowOff>0</xdr:rowOff>
    </xdr:from>
    <xdr:to>
      <xdr:col>12</xdr:col>
      <xdr:colOff>19050</xdr:colOff>
      <xdr:row>114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DAB635D-BB9B-4A68-ADD8-33C9BB76B508}"/>
            </a:ext>
          </a:extLst>
        </xdr:cNvPr>
        <xdr:cNvCxnSpPr/>
      </xdr:nvCxnSpPr>
      <xdr:spPr>
        <a:xfrm>
          <a:off x="8191500" y="0"/>
          <a:ext cx="0" cy="18535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vodafon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vodafone.com/sites/vodafone-ir/files/vodafone/results/2018/fy18-pr.pdf" TargetMode="External"/><Relationship Id="rId2" Type="http://schemas.openxmlformats.org/officeDocument/2006/relationships/hyperlink" Target="https://investors.vodafone.com/sites/vodafone-ir/files/vodafone/results/fy20full-pr.pdf" TargetMode="External"/><Relationship Id="rId1" Type="http://schemas.openxmlformats.org/officeDocument/2006/relationships/hyperlink" Target="https://investors.vodafone.com/sites/vodafone-ir/files/2022-05/vodafone-2022-annual-report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DC7-FE39-4E70-A157-AFBF48CEFAB0}">
  <dimension ref="A2:Q34"/>
  <sheetViews>
    <sheetView workbookViewId="0">
      <selection activeCell="C28" sqref="C28:D28"/>
    </sheetView>
  </sheetViews>
  <sheetFormatPr defaultRowHeight="12.75" x14ac:dyDescent="0.2"/>
  <cols>
    <col min="1" max="16384" width="9.140625" style="1"/>
  </cols>
  <sheetData>
    <row r="2" spans="1:17" ht="15" x14ac:dyDescent="0.25">
      <c r="B2" s="3" t="s">
        <v>0</v>
      </c>
    </row>
    <row r="3" spans="1:17" ht="15" x14ac:dyDescent="0.25">
      <c r="B3" s="2" t="s">
        <v>1</v>
      </c>
      <c r="F3"/>
    </row>
    <row r="5" spans="1:17" x14ac:dyDescent="0.2">
      <c r="B5" s="53" t="s">
        <v>2</v>
      </c>
      <c r="C5" s="54"/>
      <c r="D5" s="55"/>
      <c r="G5" s="53" t="s">
        <v>22</v>
      </c>
      <c r="H5" s="54"/>
      <c r="I5" s="54"/>
      <c r="J5" s="54"/>
      <c r="K5" s="54"/>
      <c r="L5" s="54"/>
      <c r="M5" s="54"/>
      <c r="N5" s="54"/>
      <c r="O5" s="54"/>
      <c r="P5" s="54"/>
      <c r="Q5" s="55"/>
    </row>
    <row r="6" spans="1:17" x14ac:dyDescent="0.2">
      <c r="B6" s="4" t="s">
        <v>3</v>
      </c>
      <c r="C6" s="5">
        <v>1.0247999999999999</v>
      </c>
      <c r="D6" s="7"/>
      <c r="G6" s="22">
        <v>44835</v>
      </c>
      <c r="H6" s="9" t="s">
        <v>23</v>
      </c>
      <c r="I6" s="9"/>
      <c r="J6" s="9"/>
      <c r="K6" s="9"/>
      <c r="L6" s="9"/>
      <c r="M6" s="9"/>
      <c r="N6" s="9"/>
      <c r="O6" s="9"/>
      <c r="P6" s="9"/>
      <c r="Q6" s="10"/>
    </row>
    <row r="7" spans="1:17" x14ac:dyDescent="0.2">
      <c r="B7" s="4" t="s">
        <v>4</v>
      </c>
      <c r="C7" s="15">
        <v>29012</v>
      </c>
      <c r="D7" s="7" t="str">
        <f>$C$27</f>
        <v>FY22</v>
      </c>
      <c r="G7" s="20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">
      <c r="B8" s="4" t="s">
        <v>5</v>
      </c>
      <c r="C8" s="15">
        <f>C6*C7</f>
        <v>29731.497599999999</v>
      </c>
      <c r="D8" s="7"/>
      <c r="G8" s="20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">
      <c r="B9" s="4" t="s">
        <v>6</v>
      </c>
      <c r="C9" s="15">
        <f>'Financial Model'!U72*Main!$C$13</f>
        <v>6596.4800000000005</v>
      </c>
      <c r="D9" s="7" t="str">
        <f t="shared" ref="D9:D11" si="0">$C$27</f>
        <v>FY22</v>
      </c>
      <c r="G9" s="20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">
      <c r="B10" s="4" t="s">
        <v>7</v>
      </c>
      <c r="C10" s="15">
        <f>'Financial Model'!U73*Main!$C$13</f>
        <v>62115.68</v>
      </c>
      <c r="D10" s="7" t="str">
        <f t="shared" si="0"/>
        <v>FY22</v>
      </c>
      <c r="G10" s="20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">
      <c r="B11" s="4" t="s">
        <v>8</v>
      </c>
      <c r="C11" s="15">
        <f>C9-C10</f>
        <v>-55519.199999999997</v>
      </c>
      <c r="D11" s="7" t="str">
        <f t="shared" si="0"/>
        <v>FY22</v>
      </c>
      <c r="G11" s="20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">
      <c r="B12" s="6" t="s">
        <v>9</v>
      </c>
      <c r="C12" s="16">
        <f>C8-C11</f>
        <v>85250.6976</v>
      </c>
      <c r="D12" s="8"/>
      <c r="G12" s="20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">
      <c r="B13" s="45" t="s">
        <v>100</v>
      </c>
      <c r="C13" s="46">
        <v>0.88</v>
      </c>
      <c r="D13" s="47"/>
      <c r="G13" s="20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">
      <c r="G14" s="20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2">
      <c r="B15" s="53" t="s">
        <v>10</v>
      </c>
      <c r="C15" s="54"/>
      <c r="D15" s="55"/>
      <c r="G15" s="20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2">
      <c r="A16" s="23" t="s">
        <v>26</v>
      </c>
      <c r="B16" s="17" t="s">
        <v>20</v>
      </c>
      <c r="C16" s="56" t="s">
        <v>24</v>
      </c>
      <c r="D16" s="57"/>
      <c r="G16" s="20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2">
      <c r="A17" s="23" t="s">
        <v>26</v>
      </c>
      <c r="B17" s="17" t="s">
        <v>21</v>
      </c>
      <c r="C17" s="56" t="s">
        <v>25</v>
      </c>
      <c r="D17" s="57"/>
      <c r="G17" s="20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2">
      <c r="B18" s="17" t="s">
        <v>27</v>
      </c>
      <c r="C18" s="56" t="s">
        <v>28</v>
      </c>
      <c r="D18" s="57"/>
      <c r="G18" s="20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2">
      <c r="B19" s="18"/>
      <c r="C19" s="63"/>
      <c r="D19" s="64"/>
      <c r="G19" s="20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2">
      <c r="G20" s="20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2">
      <c r="G21" s="20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2">
      <c r="B22" s="53" t="s">
        <v>11</v>
      </c>
      <c r="C22" s="54"/>
      <c r="D22" s="55"/>
      <c r="G22" s="20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2">
      <c r="B23" s="13" t="s">
        <v>12</v>
      </c>
      <c r="C23" s="56" t="s">
        <v>29</v>
      </c>
      <c r="D23" s="57"/>
      <c r="G23" s="20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">
      <c r="B24" s="13" t="s">
        <v>13</v>
      </c>
      <c r="C24" s="56">
        <v>1984</v>
      </c>
      <c r="D24" s="57"/>
      <c r="G24" s="20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2">
      <c r="B25" s="13" t="s">
        <v>83</v>
      </c>
      <c r="C25" s="62">
        <f>'Financial Model'!U42</f>
        <v>836</v>
      </c>
      <c r="D25" s="57"/>
      <c r="G25" s="20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2">
      <c r="B26" s="13"/>
      <c r="C26" s="56"/>
      <c r="D26" s="57"/>
      <c r="G26" s="20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">
      <c r="B27" s="13" t="s">
        <v>14</v>
      </c>
      <c r="C27" s="19" t="s">
        <v>44</v>
      </c>
      <c r="D27" s="51">
        <v>44621</v>
      </c>
      <c r="G27" s="20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2">
      <c r="B28" s="14" t="s">
        <v>15</v>
      </c>
      <c r="C28" s="58" t="s">
        <v>19</v>
      </c>
      <c r="D28" s="59"/>
      <c r="G28" s="20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2">
      <c r="G29" s="20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x14ac:dyDescent="0.2">
      <c r="G30" s="20"/>
      <c r="H30" s="9"/>
      <c r="I30" s="9"/>
      <c r="J30" s="9"/>
      <c r="K30" s="9"/>
      <c r="L30" s="9"/>
      <c r="M30" s="9"/>
      <c r="N30" s="9"/>
      <c r="O30" s="9"/>
      <c r="P30" s="9"/>
      <c r="Q30" s="10"/>
    </row>
    <row r="31" spans="1:17" x14ac:dyDescent="0.2">
      <c r="B31" s="53" t="s">
        <v>11</v>
      </c>
      <c r="C31" s="54"/>
      <c r="D31" s="55"/>
      <c r="G31" s="20"/>
      <c r="H31" s="9"/>
      <c r="I31" s="9"/>
      <c r="J31" s="9"/>
      <c r="K31" s="9"/>
      <c r="L31" s="9"/>
      <c r="M31" s="9"/>
      <c r="N31" s="9"/>
      <c r="O31" s="9"/>
      <c r="P31" s="9"/>
      <c r="Q31" s="10"/>
    </row>
    <row r="32" spans="1:17" x14ac:dyDescent="0.2">
      <c r="B32" s="13" t="s">
        <v>16</v>
      </c>
      <c r="C32" s="60">
        <f>C6/'Financial Model'!U67</f>
        <v>0.52181577829650561</v>
      </c>
      <c r="D32" s="61"/>
      <c r="G32" s="20"/>
      <c r="H32" s="9"/>
      <c r="I32" s="9"/>
      <c r="J32" s="9"/>
      <c r="K32" s="9"/>
      <c r="L32" s="9"/>
      <c r="M32" s="9"/>
      <c r="N32" s="9"/>
      <c r="O32" s="9"/>
      <c r="P32" s="9"/>
      <c r="Q32" s="10"/>
    </row>
    <row r="33" spans="2:17" x14ac:dyDescent="0.2">
      <c r="B33" s="13" t="s">
        <v>17</v>
      </c>
      <c r="C33" s="56"/>
      <c r="D33" s="57"/>
      <c r="G33" s="20"/>
      <c r="H33" s="9"/>
      <c r="I33" s="9"/>
      <c r="J33" s="9"/>
      <c r="K33" s="9"/>
      <c r="L33" s="9"/>
      <c r="M33" s="9"/>
      <c r="N33" s="9"/>
      <c r="O33" s="9"/>
      <c r="P33" s="9"/>
      <c r="Q33" s="10"/>
    </row>
    <row r="34" spans="2:17" x14ac:dyDescent="0.2">
      <c r="B34" s="13" t="s">
        <v>18</v>
      </c>
      <c r="C34" s="60">
        <f>C6/'Financial Model'!U20</f>
        <v>11.330601219512195</v>
      </c>
      <c r="D34" s="61"/>
      <c r="G34" s="21"/>
      <c r="H34" s="11"/>
      <c r="I34" s="11"/>
      <c r="J34" s="11"/>
      <c r="K34" s="11"/>
      <c r="L34" s="11"/>
      <c r="M34" s="11"/>
      <c r="N34" s="11"/>
      <c r="O34" s="11"/>
      <c r="P34" s="11"/>
      <c r="Q34" s="12"/>
    </row>
  </sheetData>
  <mergeCells count="17">
    <mergeCell ref="C33:D33"/>
    <mergeCell ref="C34:D34"/>
    <mergeCell ref="B5:D5"/>
    <mergeCell ref="B15:D15"/>
    <mergeCell ref="B22:D22"/>
    <mergeCell ref="C23:D23"/>
    <mergeCell ref="C24:D24"/>
    <mergeCell ref="C25:D25"/>
    <mergeCell ref="C16:D16"/>
    <mergeCell ref="C17:D17"/>
    <mergeCell ref="C18:D18"/>
    <mergeCell ref="C19:D19"/>
    <mergeCell ref="G5:Q5"/>
    <mergeCell ref="C26:D26"/>
    <mergeCell ref="C28:D28"/>
    <mergeCell ref="B31:D31"/>
    <mergeCell ref="C32:D32"/>
  </mergeCells>
  <hyperlinks>
    <hyperlink ref="C28:D28" r:id="rId1" display="Link" xr:uid="{D050E430-21A3-4017-A567-1BB4BBA2123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1F45-FFBB-48B1-8EBD-5856C0E1925C}">
  <dimension ref="A1:AA85"/>
  <sheetViews>
    <sheetView tabSelected="1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R83" sqref="P83:R85"/>
    </sheetView>
  </sheetViews>
  <sheetFormatPr defaultRowHeight="12.75" x14ac:dyDescent="0.2"/>
  <cols>
    <col min="1" max="1" width="5.28515625" style="1" customWidth="1"/>
    <col min="2" max="2" width="25.85546875" style="1" bestFit="1" customWidth="1"/>
    <col min="3" max="3" width="9.140625" style="1"/>
    <col min="4" max="4" width="9.140625" style="26"/>
    <col min="5" max="5" width="9.140625" style="1"/>
    <col min="6" max="6" width="9.140625" style="26"/>
    <col min="7" max="7" width="9.140625" style="1"/>
    <col min="8" max="8" width="9.140625" style="26"/>
    <col min="9" max="9" width="9.140625" style="1"/>
    <col min="10" max="10" width="9.140625" style="26"/>
    <col min="11" max="11" width="9.140625" style="1"/>
    <col min="12" max="12" width="9.140625" style="26"/>
    <col min="13" max="16384" width="9.140625" style="1"/>
  </cols>
  <sheetData>
    <row r="1" spans="2:27" s="24" customFormat="1" x14ac:dyDescent="0.2">
      <c r="B1" s="33" t="s">
        <v>61</v>
      </c>
      <c r="C1" s="24" t="s">
        <v>30</v>
      </c>
      <c r="D1" s="25" t="s">
        <v>31</v>
      </c>
      <c r="E1" s="24" t="s">
        <v>32</v>
      </c>
      <c r="F1" s="25" t="s">
        <v>33</v>
      </c>
      <c r="G1" s="24" t="s">
        <v>34</v>
      </c>
      <c r="H1" s="25" t="s">
        <v>35</v>
      </c>
      <c r="I1" s="24" t="s">
        <v>36</v>
      </c>
      <c r="J1" s="25" t="s">
        <v>37</v>
      </c>
      <c r="K1" s="24" t="s">
        <v>38</v>
      </c>
      <c r="L1" s="25" t="s">
        <v>39</v>
      </c>
      <c r="M1" s="24" t="s">
        <v>99</v>
      </c>
      <c r="P1" s="24" t="s">
        <v>102</v>
      </c>
      <c r="Q1" s="36" t="s">
        <v>40</v>
      </c>
      <c r="R1" s="24" t="s">
        <v>41</v>
      </c>
      <c r="S1" s="36" t="s">
        <v>42</v>
      </c>
      <c r="T1" s="24" t="s">
        <v>43</v>
      </c>
      <c r="U1" s="36" t="s">
        <v>44</v>
      </c>
      <c r="V1" s="24" t="s">
        <v>45</v>
      </c>
      <c r="W1" s="24" t="s">
        <v>46</v>
      </c>
      <c r="X1" s="24" t="s">
        <v>47</v>
      </c>
      <c r="Y1" s="24" t="s">
        <v>48</v>
      </c>
      <c r="Z1" s="24" t="s">
        <v>49</v>
      </c>
      <c r="AA1" s="24" t="s">
        <v>50</v>
      </c>
    </row>
    <row r="2" spans="2:27" s="28" customFormat="1" x14ac:dyDescent="0.2">
      <c r="B2" s="27"/>
      <c r="D2" s="29"/>
      <c r="F2" s="29"/>
      <c r="H2" s="29"/>
      <c r="J2" s="29"/>
      <c r="L2" s="29"/>
      <c r="P2" s="31">
        <v>42825</v>
      </c>
      <c r="Q2" s="31">
        <v>43190</v>
      </c>
      <c r="R2" s="31">
        <v>43555</v>
      </c>
      <c r="S2" s="31">
        <v>43921</v>
      </c>
      <c r="T2" s="31">
        <v>44286</v>
      </c>
      <c r="U2" s="31">
        <v>44651</v>
      </c>
    </row>
    <row r="3" spans="2:27" s="28" customFormat="1" x14ac:dyDescent="0.2">
      <c r="B3" s="27"/>
      <c r="D3" s="29"/>
      <c r="F3" s="29"/>
      <c r="H3" s="29"/>
      <c r="J3" s="29"/>
      <c r="L3" s="29"/>
      <c r="Q3" s="30">
        <v>43235</v>
      </c>
      <c r="S3" s="30">
        <v>43963</v>
      </c>
      <c r="U3" s="30">
        <v>44708</v>
      </c>
    </row>
    <row r="4" spans="2:27" s="2" customFormat="1" x14ac:dyDescent="0.2">
      <c r="B4" s="2" t="s">
        <v>51</v>
      </c>
      <c r="D4" s="32"/>
      <c r="F4" s="32"/>
      <c r="H4" s="32"/>
      <c r="J4" s="32"/>
      <c r="L4" s="32"/>
      <c r="P4" s="34">
        <v>47631</v>
      </c>
      <c r="Q4" s="34">
        <v>46571</v>
      </c>
      <c r="R4" s="34">
        <v>43666</v>
      </c>
      <c r="S4" s="34">
        <v>44974</v>
      </c>
      <c r="T4" s="34">
        <v>43809</v>
      </c>
      <c r="U4" s="34">
        <v>45580</v>
      </c>
    </row>
    <row r="5" spans="2:27" x14ac:dyDescent="0.2">
      <c r="B5" s="1" t="s">
        <v>52</v>
      </c>
      <c r="P5" s="35">
        <v>34576</v>
      </c>
      <c r="Q5" s="35">
        <v>32771</v>
      </c>
      <c r="R5" s="35">
        <v>30160</v>
      </c>
      <c r="S5" s="35">
        <v>30682</v>
      </c>
      <c r="T5" s="35">
        <v>30086</v>
      </c>
      <c r="U5" s="35">
        <v>30574</v>
      </c>
    </row>
    <row r="6" spans="2:27" s="2" customFormat="1" x14ac:dyDescent="0.2">
      <c r="B6" s="2" t="s">
        <v>53</v>
      </c>
      <c r="D6" s="32"/>
      <c r="F6" s="32"/>
      <c r="H6" s="32"/>
      <c r="J6" s="32"/>
      <c r="L6" s="32"/>
      <c r="P6" s="34">
        <f t="shared" ref="P6:Q6" si="0">P4-P5</f>
        <v>13055</v>
      </c>
      <c r="Q6" s="34">
        <f t="shared" si="0"/>
        <v>13800</v>
      </c>
      <c r="R6" s="34">
        <f>R4-R5</f>
        <v>13506</v>
      </c>
      <c r="S6" s="34">
        <f>S4-S5</f>
        <v>14292</v>
      </c>
      <c r="T6" s="34">
        <f>T4-T5</f>
        <v>13723</v>
      </c>
      <c r="U6" s="34">
        <f>U4-U5</f>
        <v>15006</v>
      </c>
    </row>
    <row r="7" spans="2:27" x14ac:dyDescent="0.2">
      <c r="B7" s="1" t="s">
        <v>54</v>
      </c>
      <c r="P7" s="35">
        <v>4349</v>
      </c>
      <c r="Q7" s="35">
        <v>4011</v>
      </c>
      <c r="R7" s="35">
        <v>3891</v>
      </c>
      <c r="S7" s="35">
        <v>3814</v>
      </c>
      <c r="T7" s="35">
        <v>3522</v>
      </c>
      <c r="U7" s="35">
        <v>3358</v>
      </c>
    </row>
    <row r="8" spans="2:27" x14ac:dyDescent="0.2">
      <c r="B8" s="1" t="s">
        <v>55</v>
      </c>
      <c r="P8" s="35">
        <v>6080</v>
      </c>
      <c r="Q8" s="35">
        <v>5644</v>
      </c>
      <c r="R8" s="35">
        <v>5410</v>
      </c>
      <c r="S8" s="35">
        <v>5810</v>
      </c>
      <c r="T8" s="35">
        <v>5350</v>
      </c>
      <c r="U8" s="35">
        <v>5713</v>
      </c>
    </row>
    <row r="9" spans="2:27" x14ac:dyDescent="0.2">
      <c r="B9" s="1" t="s">
        <v>56</v>
      </c>
      <c r="P9" s="35">
        <v>0</v>
      </c>
      <c r="Q9" s="35">
        <v>0</v>
      </c>
      <c r="R9" s="35">
        <v>575</v>
      </c>
      <c r="S9" s="35">
        <v>660</v>
      </c>
      <c r="T9" s="35">
        <v>664</v>
      </c>
      <c r="U9" s="35">
        <v>561</v>
      </c>
    </row>
    <row r="10" spans="2:27" x14ac:dyDescent="0.2">
      <c r="B10" s="1" t="s">
        <v>57</v>
      </c>
      <c r="P10" s="35">
        <v>47</v>
      </c>
      <c r="Q10" s="35">
        <v>-59</v>
      </c>
      <c r="R10" s="35">
        <v>-908</v>
      </c>
      <c r="S10" s="35">
        <v>-2505</v>
      </c>
      <c r="T10" s="35">
        <v>342</v>
      </c>
      <c r="U10" s="35">
        <v>211</v>
      </c>
    </row>
    <row r="11" spans="2:27" x14ac:dyDescent="0.2">
      <c r="B11" s="1" t="s">
        <v>58</v>
      </c>
      <c r="P11" s="35">
        <v>0</v>
      </c>
      <c r="Q11" s="35">
        <v>0</v>
      </c>
      <c r="R11" s="35">
        <v>3525</v>
      </c>
      <c r="S11" s="35">
        <v>1685</v>
      </c>
      <c r="T11" s="35">
        <v>0</v>
      </c>
      <c r="U11" s="35">
        <v>0</v>
      </c>
    </row>
    <row r="12" spans="2:27" x14ac:dyDescent="0.2">
      <c r="B12" s="1" t="s">
        <v>59</v>
      </c>
      <c r="P12" s="35">
        <v>1052</v>
      </c>
      <c r="Q12" s="35">
        <v>213</v>
      </c>
      <c r="R12" s="35">
        <v>-148</v>
      </c>
      <c r="S12" s="35">
        <v>4281</v>
      </c>
      <c r="T12" s="35">
        <v>568</v>
      </c>
      <c r="U12" s="35">
        <v>79</v>
      </c>
    </row>
    <row r="13" spans="2:27" s="2" customFormat="1" x14ac:dyDescent="0.2">
      <c r="B13" s="2" t="s">
        <v>60</v>
      </c>
      <c r="D13" s="32"/>
      <c r="F13" s="32"/>
      <c r="H13" s="32"/>
      <c r="J13" s="32"/>
      <c r="L13" s="32"/>
      <c r="P13" s="34">
        <f t="shared" ref="P13:Q13" si="1">P6-P7-P8-P9+P10-P11+P12</f>
        <v>3725</v>
      </c>
      <c r="Q13" s="34">
        <f t="shared" si="1"/>
        <v>4299</v>
      </c>
      <c r="R13" s="34">
        <f>R6-R7-R8-R9+R10-R11+R12</f>
        <v>-951</v>
      </c>
      <c r="S13" s="34">
        <f>S6-S7-S8-S9+S10-S11+S12</f>
        <v>4099</v>
      </c>
      <c r="T13" s="34">
        <f>T6-T7-T8-T9+T10-T11+T12</f>
        <v>5097</v>
      </c>
      <c r="U13" s="34">
        <f>U6-U7-U8-U9+U10-U11+U12</f>
        <v>5664</v>
      </c>
    </row>
    <row r="14" spans="2:27" x14ac:dyDescent="0.2">
      <c r="B14" s="1" t="s">
        <v>62</v>
      </c>
      <c r="P14" s="35">
        <v>1</v>
      </c>
      <c r="Q14" s="35">
        <v>32</v>
      </c>
      <c r="R14" s="35">
        <v>7</v>
      </c>
      <c r="S14" s="35">
        <v>3</v>
      </c>
      <c r="T14" s="35">
        <v>0</v>
      </c>
      <c r="U14" s="35">
        <v>0</v>
      </c>
    </row>
    <row r="15" spans="2:27" x14ac:dyDescent="0.2">
      <c r="B15" s="1" t="s">
        <v>63</v>
      </c>
      <c r="P15" s="35">
        <v>474</v>
      </c>
      <c r="Q15" s="35">
        <v>685</v>
      </c>
      <c r="R15" s="35">
        <v>433</v>
      </c>
      <c r="S15" s="35">
        <v>248</v>
      </c>
      <c r="T15" s="35">
        <v>330</v>
      </c>
      <c r="U15" s="35">
        <v>254</v>
      </c>
    </row>
    <row r="16" spans="2:27" x14ac:dyDescent="0.2">
      <c r="B16" s="1" t="s">
        <v>64</v>
      </c>
      <c r="P16" s="35">
        <v>1406</v>
      </c>
      <c r="Q16" s="35">
        <v>1074</v>
      </c>
      <c r="R16" s="35">
        <v>2088</v>
      </c>
      <c r="S16" s="35">
        <v>3549</v>
      </c>
      <c r="T16" s="35">
        <v>1027</v>
      </c>
      <c r="U16" s="35">
        <v>1964</v>
      </c>
    </row>
    <row r="17" spans="2:21" x14ac:dyDescent="0.2">
      <c r="B17" s="1" t="s">
        <v>65</v>
      </c>
      <c r="P17" s="35">
        <f t="shared" ref="P17:Q17" si="2">P13-P14+P15-P16</f>
        <v>2792</v>
      </c>
      <c r="Q17" s="35">
        <f t="shared" si="2"/>
        <v>3878</v>
      </c>
      <c r="R17" s="35">
        <f>R13-R14+R15-R16</f>
        <v>-2613</v>
      </c>
      <c r="S17" s="35">
        <f>S13-S14+S15-S16</f>
        <v>795</v>
      </c>
      <c r="T17" s="35">
        <f>T13-T14+T15-T16</f>
        <v>4400</v>
      </c>
      <c r="U17" s="35">
        <f>U13-U14+U15-U16</f>
        <v>3954</v>
      </c>
    </row>
    <row r="18" spans="2:21" x14ac:dyDescent="0.2">
      <c r="B18" s="1" t="s">
        <v>66</v>
      </c>
      <c r="P18" s="35">
        <v>4764</v>
      </c>
      <c r="Q18" s="35">
        <v>-879</v>
      </c>
      <c r="R18" s="35">
        <v>1496</v>
      </c>
      <c r="S18" s="35">
        <v>1250</v>
      </c>
      <c r="T18" s="35">
        <v>3864</v>
      </c>
      <c r="U18" s="35">
        <v>1330</v>
      </c>
    </row>
    <row r="19" spans="2:21" s="2" customFormat="1" x14ac:dyDescent="0.2">
      <c r="B19" s="2" t="s">
        <v>67</v>
      </c>
      <c r="D19" s="32"/>
      <c r="F19" s="32"/>
      <c r="H19" s="32"/>
      <c r="J19" s="32"/>
      <c r="L19" s="32"/>
      <c r="P19" s="34">
        <f t="shared" ref="P19:Q19" si="3">P17-P18</f>
        <v>-1972</v>
      </c>
      <c r="Q19" s="34">
        <f t="shared" si="3"/>
        <v>4757</v>
      </c>
      <c r="R19" s="34">
        <f>R17-R18</f>
        <v>-4109</v>
      </c>
      <c r="S19" s="34">
        <f>S17-S18</f>
        <v>-455</v>
      </c>
      <c r="T19" s="34">
        <f>T17-T18</f>
        <v>536</v>
      </c>
      <c r="U19" s="34">
        <f>U17-U18</f>
        <v>2624</v>
      </c>
    </row>
    <row r="20" spans="2:21" x14ac:dyDescent="0.2">
      <c r="B20" s="1" t="s">
        <v>68</v>
      </c>
      <c r="P20" s="1">
        <f t="shared" ref="P20:R20" si="4">P19/P21</f>
        <v>-7.0501590933466807E-2</v>
      </c>
      <c r="Q20" s="1">
        <f t="shared" si="4"/>
        <v>0.17129996398991718</v>
      </c>
      <c r="R20" s="1">
        <f t="shared" si="4"/>
        <v>-0.14883906255659796</v>
      </c>
      <c r="S20" s="1">
        <f t="shared" ref="S20" si="5">S19/S21</f>
        <v>-1.5454113171659534E-2</v>
      </c>
      <c r="T20" s="1">
        <f t="shared" ref="T20" si="6">T19/T21</f>
        <v>1.8113003514463367E-2</v>
      </c>
      <c r="U20" s="1">
        <f>U19/U21</f>
        <v>9.0445332965669381E-2</v>
      </c>
    </row>
    <row r="21" spans="2:21" x14ac:dyDescent="0.2">
      <c r="B21" s="1" t="s">
        <v>4</v>
      </c>
      <c r="P21" s="35">
        <v>27971</v>
      </c>
      <c r="Q21" s="35">
        <v>27770</v>
      </c>
      <c r="R21" s="35">
        <v>27607</v>
      </c>
      <c r="S21" s="35">
        <v>29442</v>
      </c>
      <c r="T21" s="35">
        <v>29592</v>
      </c>
      <c r="U21" s="35">
        <v>29012</v>
      </c>
    </row>
    <row r="23" spans="2:21" s="2" customFormat="1" x14ac:dyDescent="0.2">
      <c r="B23" s="2" t="s">
        <v>69</v>
      </c>
      <c r="D23" s="32"/>
      <c r="F23" s="32"/>
      <c r="H23" s="32"/>
      <c r="J23" s="32"/>
      <c r="L23" s="32"/>
      <c r="Q23" s="37">
        <f t="shared" ref="Q23" si="7">Q4/P4-1</f>
        <v>-2.2254414142050316E-2</v>
      </c>
      <c r="R23" s="37">
        <f t="shared" ref="R23" si="8">R4/Q4-1</f>
        <v>-6.2377874643018139E-2</v>
      </c>
      <c r="S23" s="37">
        <f t="shared" ref="S23:T23" si="9">S4/R4-1</f>
        <v>2.9954655796271767E-2</v>
      </c>
      <c r="T23" s="37">
        <f t="shared" si="9"/>
        <v>-2.5903855560990841E-2</v>
      </c>
      <c r="U23" s="37">
        <f>U4/T4-1</f>
        <v>4.0425483348170532E-2</v>
      </c>
    </row>
    <row r="24" spans="2:21" x14ac:dyDescent="0.2">
      <c r="B24" s="1" t="s">
        <v>70</v>
      </c>
    </row>
    <row r="26" spans="2:21" x14ac:dyDescent="0.2">
      <c r="B26" s="1" t="s">
        <v>71</v>
      </c>
      <c r="P26" s="38">
        <f t="shared" ref="P26:Q26" si="10">P6/P4</f>
        <v>0.27408620436270498</v>
      </c>
      <c r="Q26" s="38">
        <f t="shared" ref="Q26:R26" si="11">Q6/Q4</f>
        <v>0.29632174529213456</v>
      </c>
      <c r="R26" s="38">
        <f t="shared" ref="R26:S26" si="12">R6/R4</f>
        <v>0.30930243209819996</v>
      </c>
      <c r="S26" s="38">
        <f t="shared" si="12"/>
        <v>0.31778360830702185</v>
      </c>
      <c r="T26" s="38">
        <f t="shared" ref="T26" si="13">T6/T4</f>
        <v>0.31324613663859024</v>
      </c>
      <c r="U26" s="38">
        <f>U6/U4</f>
        <v>0.32922334357174199</v>
      </c>
    </row>
    <row r="27" spans="2:21" x14ac:dyDescent="0.2">
      <c r="B27" s="1" t="s">
        <v>72</v>
      </c>
      <c r="P27" s="38">
        <f t="shared" ref="P27:Q27" si="14">P13/P4</f>
        <v>7.8205370452016545E-2</v>
      </c>
      <c r="Q27" s="38">
        <f t="shared" ref="Q27:R27" si="15">Q13/Q4</f>
        <v>9.2310665435571496E-2</v>
      </c>
      <c r="R27" s="38">
        <f t="shared" ref="R27:S27" si="16">R13/R4</f>
        <v>-2.177895845738103E-2</v>
      </c>
      <c r="S27" s="38">
        <f t="shared" si="16"/>
        <v>9.1141548450215687E-2</v>
      </c>
      <c r="T27" s="38">
        <f t="shared" ref="T27" si="17">T13/T4</f>
        <v>0.11634595631034719</v>
      </c>
      <c r="U27" s="38">
        <f>U13/U4</f>
        <v>0.12426502852128127</v>
      </c>
    </row>
    <row r="28" spans="2:21" x14ac:dyDescent="0.2">
      <c r="B28" s="1" t="s">
        <v>73</v>
      </c>
      <c r="P28" s="38">
        <f t="shared" ref="P28:Q28" si="18">P19/P4</f>
        <v>-4.1401608196342719E-2</v>
      </c>
      <c r="Q28" s="38">
        <f t="shared" ref="Q28:R28" si="19">Q19/Q4</f>
        <v>0.10214511176483219</v>
      </c>
      <c r="R28" s="38">
        <f t="shared" ref="R28:S28" si="20">R19/R4</f>
        <v>-9.4100673292722023E-2</v>
      </c>
      <c r="S28" s="38">
        <f t="shared" si="20"/>
        <v>-1.0116956463734603E-2</v>
      </c>
      <c r="T28" s="38">
        <f t="shared" ref="T28" si="21">T19/T4</f>
        <v>1.2234928895888973E-2</v>
      </c>
      <c r="U28" s="38">
        <f>U19/U4</f>
        <v>5.7569109258446688E-2</v>
      </c>
    </row>
    <row r="29" spans="2:21" x14ac:dyDescent="0.2">
      <c r="B29" s="1" t="s">
        <v>66</v>
      </c>
      <c r="P29" s="38">
        <f t="shared" ref="P29:Q29" si="22">P19/P4</f>
        <v>-4.1401608196342719E-2</v>
      </c>
      <c r="Q29" s="38">
        <f t="shared" ref="Q29:R29" si="23">Q19/Q4</f>
        <v>0.10214511176483219</v>
      </c>
      <c r="R29" s="38">
        <f t="shared" ref="R29:S29" si="24">R19/R4</f>
        <v>-9.4100673292722023E-2</v>
      </c>
      <c r="S29" s="38">
        <f t="shared" si="24"/>
        <v>-1.0116956463734603E-2</v>
      </c>
      <c r="T29" s="38">
        <f t="shared" ref="T29" si="25">T19/T4</f>
        <v>1.2234928895888973E-2</v>
      </c>
      <c r="U29" s="38">
        <f>U19/U4</f>
        <v>5.7569109258446688E-2</v>
      </c>
    </row>
    <row r="33" spans="2:21" x14ac:dyDescent="0.2">
      <c r="B33" s="39" t="s">
        <v>74</v>
      </c>
    </row>
    <row r="34" spans="2:21" x14ac:dyDescent="0.2">
      <c r="B34" s="1" t="s">
        <v>75</v>
      </c>
      <c r="P34" s="35">
        <f>26808+19412</f>
        <v>46220</v>
      </c>
      <c r="Q34" s="35">
        <f>26734+16523</f>
        <v>43257</v>
      </c>
      <c r="R34" s="35">
        <f>23353+17652</f>
        <v>41005</v>
      </c>
      <c r="S34" s="35">
        <f>31271+22252</f>
        <v>53523</v>
      </c>
      <c r="T34" s="35">
        <f>31731+21818</f>
        <v>53549</v>
      </c>
      <c r="U34" s="35">
        <f>31884+21360</f>
        <v>53244</v>
      </c>
    </row>
    <row r="35" spans="2:21" x14ac:dyDescent="0.2">
      <c r="B35" s="1" t="s">
        <v>76</v>
      </c>
      <c r="P35" s="35">
        <v>30204</v>
      </c>
      <c r="Q35" s="35">
        <v>28325</v>
      </c>
      <c r="R35" s="35">
        <v>27432</v>
      </c>
      <c r="S35" s="35">
        <v>39197</v>
      </c>
      <c r="T35" s="35">
        <v>41243</v>
      </c>
      <c r="U35" s="35">
        <v>40804</v>
      </c>
    </row>
    <row r="36" spans="2:21" x14ac:dyDescent="0.2">
      <c r="B36" s="1" t="s">
        <v>77</v>
      </c>
      <c r="P36" s="35">
        <v>3138</v>
      </c>
      <c r="Q36" s="35">
        <v>2538</v>
      </c>
      <c r="R36" s="35">
        <v>3952</v>
      </c>
      <c r="S36" s="35">
        <v>5831</v>
      </c>
      <c r="T36" s="35">
        <v>4670</v>
      </c>
      <c r="U36" s="35">
        <v>4268</v>
      </c>
    </row>
    <row r="37" spans="2:21" x14ac:dyDescent="0.2">
      <c r="B37" s="1" t="s">
        <v>78</v>
      </c>
      <c r="P37" s="35">
        <v>3459</v>
      </c>
      <c r="Q37" s="35">
        <v>3204</v>
      </c>
      <c r="R37" s="35">
        <v>870</v>
      </c>
      <c r="S37" s="35">
        <v>792</v>
      </c>
      <c r="T37" s="35">
        <v>925</v>
      </c>
      <c r="U37" s="35">
        <v>1073</v>
      </c>
    </row>
    <row r="38" spans="2:21" x14ac:dyDescent="0.2">
      <c r="B38" s="1" t="s">
        <v>79</v>
      </c>
      <c r="P38" s="35">
        <v>24300</v>
      </c>
      <c r="Q38" s="35">
        <v>26200</v>
      </c>
      <c r="R38" s="35">
        <v>24753</v>
      </c>
      <c r="S38" s="35">
        <v>23606</v>
      </c>
      <c r="T38" s="35">
        <v>21569</v>
      </c>
      <c r="U38" s="35">
        <v>19089</v>
      </c>
    </row>
    <row r="39" spans="2:21" x14ac:dyDescent="0.2">
      <c r="B39" s="1" t="s">
        <v>80</v>
      </c>
      <c r="P39" s="35">
        <v>57</v>
      </c>
      <c r="Q39" s="35">
        <v>110</v>
      </c>
      <c r="R39" s="35">
        <v>94</v>
      </c>
      <c r="S39" s="35">
        <v>590</v>
      </c>
      <c r="T39" s="35">
        <v>60</v>
      </c>
      <c r="U39" s="35">
        <v>555</v>
      </c>
    </row>
    <row r="40" spans="2:21" x14ac:dyDescent="0.2">
      <c r="B40" s="1" t="s">
        <v>81</v>
      </c>
      <c r="P40" s="35">
        <v>4569</v>
      </c>
      <c r="Q40" s="35">
        <v>4026</v>
      </c>
      <c r="R40" s="35">
        <v>5170</v>
      </c>
      <c r="S40" s="35">
        <v>10378</v>
      </c>
      <c r="T40" s="35">
        <v>4777</v>
      </c>
      <c r="U40" s="35">
        <v>6383</v>
      </c>
    </row>
    <row r="41" spans="2:21" x14ac:dyDescent="0.2">
      <c r="B41" s="1" t="s">
        <v>82</v>
      </c>
      <c r="P41" s="35">
        <f>SUM(P34:P40)</f>
        <v>111947</v>
      </c>
      <c r="Q41" s="35">
        <f>SUM(Q34:Q40)</f>
        <v>107660</v>
      </c>
      <c r="R41" s="35">
        <f>SUM(R34:R40)</f>
        <v>103276</v>
      </c>
      <c r="S41" s="35">
        <f>SUM(S34:S40)</f>
        <v>133917</v>
      </c>
      <c r="T41" s="35">
        <f>SUM(T34:T40)</f>
        <v>126793</v>
      </c>
      <c r="U41" s="35">
        <f>SUM(U34:U40)</f>
        <v>125416</v>
      </c>
    </row>
    <row r="42" spans="2:21" s="2" customFormat="1" x14ac:dyDescent="0.2">
      <c r="B42" s="2" t="s">
        <v>83</v>
      </c>
      <c r="D42" s="32"/>
      <c r="F42" s="32"/>
      <c r="H42" s="32"/>
      <c r="J42" s="32"/>
      <c r="L42" s="32"/>
      <c r="P42" s="34">
        <v>576</v>
      </c>
      <c r="Q42" s="34">
        <v>581</v>
      </c>
      <c r="R42" s="34">
        <v>714</v>
      </c>
      <c r="S42" s="34">
        <v>585</v>
      </c>
      <c r="T42" s="34">
        <v>676</v>
      </c>
      <c r="U42" s="34">
        <v>836</v>
      </c>
    </row>
    <row r="43" spans="2:21" x14ac:dyDescent="0.2">
      <c r="B43" s="1" t="s">
        <v>66</v>
      </c>
      <c r="P43" s="35">
        <v>150</v>
      </c>
      <c r="Q43" s="35">
        <v>106</v>
      </c>
      <c r="R43" s="35">
        <v>264</v>
      </c>
      <c r="S43" s="35">
        <v>275</v>
      </c>
      <c r="T43" s="35">
        <v>434</v>
      </c>
      <c r="U43" s="35">
        <v>296</v>
      </c>
    </row>
    <row r="44" spans="2:21" x14ac:dyDescent="0.2">
      <c r="B44" s="1" t="s">
        <v>81</v>
      </c>
      <c r="P44" s="35">
        <v>9861</v>
      </c>
      <c r="Q44" s="35">
        <v>9975</v>
      </c>
      <c r="R44" s="35">
        <v>12190</v>
      </c>
      <c r="S44" s="35">
        <v>11411</v>
      </c>
      <c r="T44" s="35">
        <v>10923</v>
      </c>
      <c r="U44" s="35">
        <v>11019</v>
      </c>
    </row>
    <row r="45" spans="2:21" x14ac:dyDescent="0.2">
      <c r="B45" s="1" t="s">
        <v>78</v>
      </c>
      <c r="P45" s="35">
        <v>6120</v>
      </c>
      <c r="Q45" s="35">
        <v>8795</v>
      </c>
      <c r="R45" s="35">
        <v>13012</v>
      </c>
      <c r="S45" s="35">
        <v>7089</v>
      </c>
      <c r="T45" s="35">
        <v>9159</v>
      </c>
      <c r="U45" s="35">
        <v>7931</v>
      </c>
    </row>
    <row r="46" spans="2:21" s="2" customFormat="1" x14ac:dyDescent="0.2">
      <c r="B46" s="2" t="s">
        <v>6</v>
      </c>
      <c r="D46" s="32"/>
      <c r="F46" s="32"/>
      <c r="H46" s="32"/>
      <c r="J46" s="32"/>
      <c r="L46" s="32"/>
      <c r="P46" s="34">
        <v>8835</v>
      </c>
      <c r="Q46" s="34">
        <v>4674</v>
      </c>
      <c r="R46" s="34">
        <v>13637</v>
      </c>
      <c r="S46" s="34">
        <v>13284</v>
      </c>
      <c r="T46" s="34">
        <v>5821</v>
      </c>
      <c r="U46" s="34">
        <v>7496</v>
      </c>
    </row>
    <row r="47" spans="2:21" x14ac:dyDescent="0.2">
      <c r="B47" s="1" t="s">
        <v>84</v>
      </c>
      <c r="P47" s="35">
        <v>17195</v>
      </c>
      <c r="Q47" s="35">
        <v>13820</v>
      </c>
      <c r="R47" s="35">
        <v>-231</v>
      </c>
      <c r="S47" s="35">
        <v>1607</v>
      </c>
      <c r="T47" s="35">
        <v>1257</v>
      </c>
      <c r="U47" s="35">
        <v>959</v>
      </c>
    </row>
    <row r="48" spans="2:21" x14ac:dyDescent="0.2">
      <c r="B48" s="1" t="s">
        <v>85</v>
      </c>
      <c r="P48" s="35">
        <f>P41+SUM(P42:P47)</f>
        <v>154684</v>
      </c>
      <c r="Q48" s="35">
        <f>Q41+SUM(Q42:Q47)</f>
        <v>145611</v>
      </c>
      <c r="R48" s="35">
        <f>R41+SUM(R42:R47)</f>
        <v>142862</v>
      </c>
      <c r="S48" s="35">
        <f>S41+SUM(S42:S47)</f>
        <v>168168</v>
      </c>
      <c r="T48" s="35">
        <f>T41+SUM(T42:T47)</f>
        <v>155063</v>
      </c>
      <c r="U48" s="35">
        <f>U41+SUM(U42:U47)</f>
        <v>153953</v>
      </c>
    </row>
    <row r="50" spans="2:21" s="2" customFormat="1" x14ac:dyDescent="0.2">
      <c r="B50" s="2" t="s">
        <v>86</v>
      </c>
      <c r="D50" s="32"/>
      <c r="F50" s="32"/>
      <c r="H50" s="32"/>
      <c r="J50" s="32"/>
      <c r="L50" s="32"/>
      <c r="P50" s="34">
        <v>34523</v>
      </c>
      <c r="Q50" s="34">
        <v>32908</v>
      </c>
      <c r="R50" s="34">
        <v>48685</v>
      </c>
      <c r="S50" s="34">
        <v>62892</v>
      </c>
      <c r="T50" s="34">
        <v>59272</v>
      </c>
      <c r="U50" s="34">
        <v>58131</v>
      </c>
    </row>
    <row r="51" spans="2:21" x14ac:dyDescent="0.2">
      <c r="B51" s="1" t="s">
        <v>79</v>
      </c>
      <c r="P51" s="35">
        <v>535</v>
      </c>
      <c r="Q51" s="35">
        <v>644</v>
      </c>
      <c r="R51" s="35">
        <v>478</v>
      </c>
      <c r="S51" s="35">
        <v>2043</v>
      </c>
      <c r="T51" s="35">
        <v>2095</v>
      </c>
      <c r="U51" s="35">
        <v>520</v>
      </c>
    </row>
    <row r="52" spans="2:21" x14ac:dyDescent="0.2">
      <c r="B52" s="1" t="s">
        <v>80</v>
      </c>
      <c r="P52" s="35">
        <v>651</v>
      </c>
      <c r="Q52" s="35">
        <v>520</v>
      </c>
      <c r="R52" s="35">
        <v>551</v>
      </c>
      <c r="S52" s="35">
        <v>438</v>
      </c>
      <c r="T52" s="35">
        <v>513</v>
      </c>
      <c r="U52" s="35">
        <v>281</v>
      </c>
    </row>
    <row r="53" spans="2:21" x14ac:dyDescent="0.2">
      <c r="B53" s="1" t="s">
        <v>87</v>
      </c>
      <c r="P53" s="35">
        <v>1130</v>
      </c>
      <c r="Q53" s="35">
        <v>1065</v>
      </c>
      <c r="R53" s="35">
        <v>1242</v>
      </c>
      <c r="S53" s="35">
        <v>1474</v>
      </c>
      <c r="T53" s="35">
        <v>1747</v>
      </c>
      <c r="U53" s="35">
        <v>1881</v>
      </c>
    </row>
    <row r="54" spans="2:21" x14ac:dyDescent="0.2">
      <c r="B54" s="1" t="s">
        <v>88</v>
      </c>
      <c r="P54" s="35">
        <v>1737</v>
      </c>
      <c r="Q54" s="35">
        <v>2843</v>
      </c>
      <c r="R54" s="35">
        <v>2938</v>
      </c>
      <c r="S54" s="35">
        <v>5189</v>
      </c>
      <c r="T54" s="35">
        <v>4909</v>
      </c>
      <c r="U54" s="35">
        <v>2516</v>
      </c>
    </row>
    <row r="55" spans="2:21" x14ac:dyDescent="0.2">
      <c r="B55" s="1" t="s">
        <v>90</v>
      </c>
      <c r="P55" s="35">
        <f>SUM(P50:P54)</f>
        <v>38576</v>
      </c>
      <c r="Q55" s="35">
        <f>SUM(Q50:Q54)</f>
        <v>37980</v>
      </c>
      <c r="R55" s="35">
        <f>SUM(R50:R54)</f>
        <v>53894</v>
      </c>
      <c r="S55" s="35">
        <f>SUM(S50:S54)</f>
        <v>72036</v>
      </c>
      <c r="T55" s="35">
        <f>SUM(T50:T54)</f>
        <v>68536</v>
      </c>
      <c r="U55" s="35">
        <f>SUM(U50:U54)</f>
        <v>63329</v>
      </c>
    </row>
    <row r="56" spans="2:21" s="2" customFormat="1" x14ac:dyDescent="0.2">
      <c r="B56" s="2" t="s">
        <v>86</v>
      </c>
      <c r="D56" s="32"/>
      <c r="F56" s="32"/>
      <c r="H56" s="32"/>
      <c r="J56" s="32"/>
      <c r="L56" s="32"/>
      <c r="P56" s="34">
        <v>12051</v>
      </c>
      <c r="Q56" s="34">
        <v>10351</v>
      </c>
      <c r="R56" s="34">
        <v>4270</v>
      </c>
      <c r="S56" s="34">
        <v>11826</v>
      </c>
      <c r="T56" s="34">
        <v>8488</v>
      </c>
      <c r="U56" s="34">
        <v>11961</v>
      </c>
    </row>
    <row r="57" spans="2:21" s="2" customFormat="1" x14ac:dyDescent="0.2">
      <c r="B57" s="2" t="s">
        <v>97</v>
      </c>
      <c r="D57" s="32"/>
      <c r="F57" s="32"/>
      <c r="H57" s="32"/>
      <c r="J57" s="32"/>
      <c r="L57" s="32"/>
      <c r="P57" s="34">
        <v>0</v>
      </c>
      <c r="Q57" s="34">
        <v>0</v>
      </c>
      <c r="R57" s="34">
        <v>1844</v>
      </c>
      <c r="S57" s="34">
        <v>1850</v>
      </c>
      <c r="T57" s="34">
        <v>492</v>
      </c>
      <c r="U57" s="34">
        <v>494</v>
      </c>
    </row>
    <row r="58" spans="2:21" x14ac:dyDescent="0.2">
      <c r="B58" s="1" t="s">
        <v>66</v>
      </c>
      <c r="P58" s="34">
        <v>661</v>
      </c>
      <c r="Q58" s="35">
        <v>541</v>
      </c>
      <c r="R58" s="35">
        <v>596</v>
      </c>
      <c r="S58" s="35">
        <v>671</v>
      </c>
      <c r="T58" s="35">
        <v>769</v>
      </c>
      <c r="U58" s="35">
        <v>864</v>
      </c>
    </row>
    <row r="59" spans="2:21" x14ac:dyDescent="0.2">
      <c r="B59" s="1" t="s">
        <v>87</v>
      </c>
      <c r="P59" s="35">
        <v>1049</v>
      </c>
      <c r="Q59" s="35">
        <v>891</v>
      </c>
      <c r="R59" s="35">
        <v>1160</v>
      </c>
      <c r="S59" s="35">
        <v>1024</v>
      </c>
      <c r="T59" s="35">
        <v>892</v>
      </c>
      <c r="U59" s="35">
        <v>667</v>
      </c>
    </row>
    <row r="60" spans="2:21" x14ac:dyDescent="0.2">
      <c r="B60" s="1" t="s">
        <v>88</v>
      </c>
      <c r="P60" s="35">
        <v>16834</v>
      </c>
      <c r="Q60" s="35">
        <v>16242</v>
      </c>
      <c r="R60" s="35">
        <v>17653</v>
      </c>
      <c r="S60" s="35">
        <v>17085</v>
      </c>
      <c r="T60" s="35">
        <v>18070</v>
      </c>
      <c r="U60" s="35">
        <v>19661</v>
      </c>
    </row>
    <row r="61" spans="2:21" x14ac:dyDescent="0.2">
      <c r="B61" s="1" t="s">
        <v>89</v>
      </c>
      <c r="P61" s="35">
        <f>P55+SUM(P56:P60)</f>
        <v>69171</v>
      </c>
      <c r="Q61" s="35">
        <f>Q55+SUM(Q56:Q60)</f>
        <v>66005</v>
      </c>
      <c r="R61" s="35">
        <f>R55+SUM(R56:R60)</f>
        <v>79417</v>
      </c>
      <c r="S61" s="35">
        <f>S55+SUM(S56:S60)</f>
        <v>104492</v>
      </c>
      <c r="T61" s="35">
        <f>T55+SUM(T56:T60)</f>
        <v>97247</v>
      </c>
      <c r="U61" s="35">
        <f>U55+SUM(U56:U60)</f>
        <v>96976</v>
      </c>
    </row>
    <row r="63" spans="2:21" x14ac:dyDescent="0.2">
      <c r="B63" s="1" t="s">
        <v>91</v>
      </c>
      <c r="P63" s="35">
        <v>73719</v>
      </c>
      <c r="Q63" s="35">
        <v>68607</v>
      </c>
      <c r="R63" s="35">
        <v>63445</v>
      </c>
      <c r="S63" s="35">
        <v>62625</v>
      </c>
      <c r="T63" s="35">
        <v>57816</v>
      </c>
      <c r="U63" s="35">
        <v>56977</v>
      </c>
    </row>
    <row r="64" spans="2:21" x14ac:dyDescent="0.2">
      <c r="B64" s="1" t="s">
        <v>92</v>
      </c>
      <c r="P64" s="35">
        <f t="shared" ref="P64:Q64" si="26">P63+P61</f>
        <v>142890</v>
      </c>
      <c r="Q64" s="35">
        <f t="shared" si="26"/>
        <v>134612</v>
      </c>
      <c r="R64" s="35">
        <f>R63+R61</f>
        <v>142862</v>
      </c>
      <c r="S64" s="35">
        <f>S63+S61</f>
        <v>167117</v>
      </c>
      <c r="T64" s="35">
        <f>T63+T61</f>
        <v>155063</v>
      </c>
      <c r="U64" s="35">
        <f>U63+U61</f>
        <v>153953</v>
      </c>
    </row>
    <row r="66" spans="1:21" x14ac:dyDescent="0.2">
      <c r="B66" s="1" t="s">
        <v>93</v>
      </c>
      <c r="P66" s="35">
        <f t="shared" ref="P66:R66" si="27">P48-P61</f>
        <v>85513</v>
      </c>
      <c r="Q66" s="35">
        <f t="shared" si="27"/>
        <v>79606</v>
      </c>
      <c r="R66" s="35">
        <f t="shared" si="27"/>
        <v>63445</v>
      </c>
      <c r="S66" s="35">
        <f t="shared" ref="S66" si="28">S48-S61</f>
        <v>63676</v>
      </c>
      <c r="T66" s="35">
        <f>T48-T61</f>
        <v>57816</v>
      </c>
      <c r="U66" s="35">
        <f>U48-U61</f>
        <v>56977</v>
      </c>
    </row>
    <row r="67" spans="1:21" x14ac:dyDescent="0.2">
      <c r="B67" s="1" t="s">
        <v>94</v>
      </c>
      <c r="P67" s="1">
        <f t="shared" ref="P67:R67" si="29">P66/P21</f>
        <v>3.0572021021772549</v>
      </c>
      <c r="Q67" s="1">
        <f t="shared" si="29"/>
        <v>2.8666186532229023</v>
      </c>
      <c r="R67" s="1">
        <f t="shared" si="29"/>
        <v>2.2981490201760422</v>
      </c>
      <c r="S67" s="1">
        <f t="shared" ref="S67" si="30">S66/S21</f>
        <v>2.1627606820188845</v>
      </c>
      <c r="T67" s="1">
        <f>T66/T21</f>
        <v>1.9537712895377128</v>
      </c>
      <c r="U67" s="1">
        <f>U66/U21</f>
        <v>1.9639114849027988</v>
      </c>
    </row>
    <row r="69" spans="1:21" x14ac:dyDescent="0.2">
      <c r="B69" s="1" t="s">
        <v>95</v>
      </c>
      <c r="Q69" s="38">
        <f t="shared" ref="Q69" si="31">Q42/P42-1</f>
        <v>8.6805555555555802E-3</v>
      </c>
      <c r="R69" s="38">
        <f t="shared" ref="R69" si="32">R42/Q42-1</f>
        <v>0.22891566265060237</v>
      </c>
      <c r="S69" s="38">
        <f t="shared" ref="S69:T69" si="33">S42/R42-1</f>
        <v>-0.18067226890756305</v>
      </c>
      <c r="T69" s="38">
        <f t="shared" si="33"/>
        <v>0.15555555555555545</v>
      </c>
      <c r="U69" s="38">
        <f>U42/T42-1</f>
        <v>0.23668639053254448</v>
      </c>
    </row>
    <row r="70" spans="1:21" x14ac:dyDescent="0.2">
      <c r="B70" s="1" t="s">
        <v>96</v>
      </c>
    </row>
    <row r="72" spans="1:21" s="40" customFormat="1" x14ac:dyDescent="0.2">
      <c r="B72" s="40" t="s">
        <v>6</v>
      </c>
      <c r="D72" s="41"/>
      <c r="F72" s="41"/>
      <c r="H72" s="41"/>
      <c r="J72" s="41"/>
      <c r="L72" s="41"/>
      <c r="P72" s="42">
        <f t="shared" ref="P72:R72" si="34">P46</f>
        <v>8835</v>
      </c>
      <c r="Q72" s="42">
        <f t="shared" si="34"/>
        <v>4674</v>
      </c>
      <c r="R72" s="42">
        <f t="shared" si="34"/>
        <v>13637</v>
      </c>
      <c r="S72" s="42">
        <f t="shared" ref="S72" si="35">S46</f>
        <v>13284</v>
      </c>
      <c r="T72" s="42">
        <f t="shared" ref="T72" si="36">T46</f>
        <v>5821</v>
      </c>
      <c r="U72" s="42">
        <f>U46</f>
        <v>7496</v>
      </c>
    </row>
    <row r="73" spans="1:21" s="40" customFormat="1" x14ac:dyDescent="0.2">
      <c r="B73" s="40" t="s">
        <v>7</v>
      </c>
      <c r="D73" s="41"/>
      <c r="F73" s="41"/>
      <c r="H73" s="41"/>
      <c r="J73" s="41"/>
      <c r="L73" s="41"/>
      <c r="P73" s="42">
        <f t="shared" ref="P73:R73" si="37">P50+P56+P57</f>
        <v>46574</v>
      </c>
      <c r="Q73" s="42">
        <f t="shared" si="37"/>
        <v>43259</v>
      </c>
      <c r="R73" s="42">
        <f t="shared" si="37"/>
        <v>54799</v>
      </c>
      <c r="S73" s="42">
        <f t="shared" ref="S73" si="38">S50+S56+S57</f>
        <v>76568</v>
      </c>
      <c r="T73" s="42">
        <f t="shared" ref="T73" si="39">T50+T56+T57</f>
        <v>68252</v>
      </c>
      <c r="U73" s="42">
        <f>U50+U56+U57</f>
        <v>70586</v>
      </c>
    </row>
    <row r="74" spans="1:21" x14ac:dyDescent="0.2">
      <c r="B74" s="1" t="s">
        <v>8</v>
      </c>
      <c r="P74" s="35">
        <f t="shared" ref="P74:R74" si="40">P72-P73</f>
        <v>-37739</v>
      </c>
      <c r="Q74" s="35">
        <f t="shared" si="40"/>
        <v>-38585</v>
      </c>
      <c r="R74" s="35">
        <f t="shared" si="40"/>
        <v>-41162</v>
      </c>
      <c r="S74" s="35">
        <f t="shared" ref="S74" si="41">S72-S73</f>
        <v>-63284</v>
      </c>
      <c r="T74" s="35">
        <f t="shared" ref="T74" si="42">T72-T73</f>
        <v>-62431</v>
      </c>
      <c r="U74" s="35">
        <f>U72-U73</f>
        <v>-63090</v>
      </c>
    </row>
    <row r="75" spans="1:21" s="44" customFormat="1" x14ac:dyDescent="0.2">
      <c r="A75" s="43"/>
      <c r="B75" s="44" t="s">
        <v>101</v>
      </c>
      <c r="D75" s="48"/>
      <c r="F75" s="48"/>
      <c r="H75" s="48"/>
      <c r="J75" s="48"/>
      <c r="L75" s="48"/>
      <c r="P75" s="49">
        <f t="shared" ref="P75:R75" si="43">P74*P81</f>
        <v>-32323.453500000003</v>
      </c>
      <c r="Q75" s="49">
        <f t="shared" si="43"/>
        <v>-33835.186500000003</v>
      </c>
      <c r="R75" s="49">
        <f t="shared" si="43"/>
        <v>-35407.5524</v>
      </c>
      <c r="S75" s="49">
        <f t="shared" ref="S75" si="44">S74*S81</f>
        <v>-56411.357599999996</v>
      </c>
      <c r="T75" s="49">
        <f t="shared" ref="T75" si="45">T74*T81</f>
        <v>-53241.156799999997</v>
      </c>
      <c r="U75" s="49">
        <f>U74*U81</f>
        <v>-53582.337000000007</v>
      </c>
    </row>
    <row r="77" spans="1:21" x14ac:dyDescent="0.2">
      <c r="B77" s="1" t="s">
        <v>98</v>
      </c>
      <c r="P77" s="1">
        <v>2.081</v>
      </c>
      <c r="Q77" s="1">
        <v>1.9421999999999999</v>
      </c>
      <c r="R77" s="1">
        <v>1.1020000000000001</v>
      </c>
      <c r="S77" s="1">
        <v>1.1434</v>
      </c>
      <c r="T77" s="1">
        <v>1.3188</v>
      </c>
      <c r="U77" s="1">
        <v>1.2484</v>
      </c>
    </row>
    <row r="78" spans="1:21" x14ac:dyDescent="0.2">
      <c r="B78" s="1" t="s">
        <v>5</v>
      </c>
      <c r="P78" s="50">
        <f t="shared" ref="P78:R78" si="46">P77*P21</f>
        <v>58207.650999999998</v>
      </c>
      <c r="Q78" s="50">
        <f t="shared" si="46"/>
        <v>53934.894</v>
      </c>
      <c r="R78" s="50">
        <f t="shared" si="46"/>
        <v>30422.914000000004</v>
      </c>
      <c r="S78" s="50">
        <f t="shared" ref="S78" si="47">S77*S21</f>
        <v>33663.982799999998</v>
      </c>
      <c r="T78" s="50">
        <f t="shared" ref="T78" si="48">T77*T21</f>
        <v>39025.929599999996</v>
      </c>
      <c r="U78" s="50">
        <f>U77*U21</f>
        <v>36218.580799999996</v>
      </c>
    </row>
    <row r="79" spans="1:21" x14ac:dyDescent="0.2">
      <c r="B79" s="1" t="s">
        <v>9</v>
      </c>
      <c r="P79" s="50">
        <f t="shared" ref="P79:R79" si="49">P78-P75</f>
        <v>90531.104500000001</v>
      </c>
      <c r="Q79" s="50">
        <f t="shared" si="49"/>
        <v>87770.080500000011</v>
      </c>
      <c r="R79" s="50">
        <f t="shared" si="49"/>
        <v>65830.466400000005</v>
      </c>
      <c r="S79" s="50">
        <f t="shared" ref="S79" si="50">S78-S75</f>
        <v>90075.340399999986</v>
      </c>
      <c r="T79" s="50">
        <f t="shared" ref="T79" si="51">T78-T75</f>
        <v>92267.0864</v>
      </c>
      <c r="U79" s="50">
        <f>U78-U75</f>
        <v>89800.917799999996</v>
      </c>
    </row>
    <row r="81" spans="2:21" x14ac:dyDescent="0.2">
      <c r="B81" s="1" t="s">
        <v>100</v>
      </c>
      <c r="P81" s="1">
        <v>0.85650000000000004</v>
      </c>
      <c r="Q81" s="1">
        <v>0.87690000000000001</v>
      </c>
      <c r="R81" s="1">
        <v>0.86019999999999996</v>
      </c>
      <c r="S81" s="1">
        <v>0.89139999999999997</v>
      </c>
      <c r="T81" s="1">
        <v>0.8528</v>
      </c>
      <c r="U81" s="1">
        <v>0.84930000000000005</v>
      </c>
    </row>
    <row r="83" spans="2:21" x14ac:dyDescent="0.2">
      <c r="B83" s="1" t="s">
        <v>16</v>
      </c>
      <c r="P83" s="52">
        <f t="shared" ref="P83:R83" si="52">P77/P67</f>
        <v>0.68068774338404692</v>
      </c>
      <c r="Q83" s="52">
        <f t="shared" si="52"/>
        <v>0.67752297565510133</v>
      </c>
      <c r="R83" s="52">
        <f t="shared" ref="R83:T83" si="53">R77/R67</f>
        <v>0.47951633698479007</v>
      </c>
      <c r="S83" s="52">
        <f t="shared" si="53"/>
        <v>0.52867615428104786</v>
      </c>
      <c r="T83" s="52">
        <f t="shared" si="53"/>
        <v>0.67500224159402245</v>
      </c>
      <c r="U83" s="52">
        <f>U77/U67</f>
        <v>0.6356701967460554</v>
      </c>
    </row>
    <row r="85" spans="2:21" x14ac:dyDescent="0.2">
      <c r="B85" s="1" t="s">
        <v>18</v>
      </c>
      <c r="P85" s="52">
        <f t="shared" ref="P85:R85" si="54">P77/P20</f>
        <v>-29.517064401622715</v>
      </c>
      <c r="Q85" s="52">
        <f t="shared" si="54"/>
        <v>11.338005886062644</v>
      </c>
      <c r="R85" s="52">
        <f t="shared" ref="R85:T85" si="55">R77/R20</f>
        <v>-7.4039703090776356</v>
      </c>
      <c r="S85" s="52">
        <f t="shared" si="55"/>
        <v>-73.986775384615385</v>
      </c>
      <c r="T85" s="52">
        <f t="shared" si="55"/>
        <v>72.80957014925373</v>
      </c>
      <c r="U85" s="52">
        <f>U77/U20</f>
        <v>13.802812804878048</v>
      </c>
    </row>
  </sheetData>
  <hyperlinks>
    <hyperlink ref="U1" r:id="rId1" xr:uid="{53B5965E-86A4-4E15-BCC8-BF2778F38F41}"/>
    <hyperlink ref="S1" r:id="rId2" xr:uid="{8A9C1835-76D0-4B4E-98C1-AEE2CB23015C}"/>
    <hyperlink ref="Q1" r:id="rId3" xr:uid="{43B28802-E1F3-4DFC-9E35-ACFDECE05BD3}"/>
  </hyperlinks>
  <pageMargins left="0.7" right="0.7" top="0.75" bottom="0.75" header="0.3" footer="0.3"/>
  <pageSetup paperSize="256" orientation="portrait" horizontalDpi="203" verticalDpi="20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2022-10-05T13:31:26Z</dcterms:created>
  <dcterms:modified xsi:type="dcterms:W3CDTF">2022-10-05T18:15:25Z</dcterms:modified>
</cp:coreProperties>
</file>