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6D62E1C2-13E6-9441-98CD-5C511E128B6F}" xr6:coauthVersionLast="47" xr6:coauthVersionMax="47" xr10:uidLastSave="{00000000-0000-0000-0000-000000000000}"/>
  <bookViews>
    <workbookView xWindow="0" yWindow="500" windowWidth="33000" windowHeight="18900" xr2:uid="{CF719F56-9BF4-487E-BB92-90A9ADCC368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5" i="2" l="1"/>
  <c r="C33" i="1"/>
  <c r="D11" i="1"/>
  <c r="D10" i="1"/>
  <c r="D9" i="1"/>
  <c r="D7" i="1"/>
  <c r="C10" i="1"/>
  <c r="C11" i="1" s="1"/>
  <c r="C9" i="1"/>
  <c r="M73" i="2"/>
  <c r="M72" i="2"/>
  <c r="J68" i="2"/>
  <c r="J67" i="2"/>
  <c r="J69" i="2" s="1"/>
  <c r="M69" i="2"/>
  <c r="M68" i="2"/>
  <c r="M67" i="2"/>
  <c r="M65" i="2"/>
  <c r="I28" i="2"/>
  <c r="I27" i="2"/>
  <c r="I26" i="2"/>
  <c r="I19" i="2"/>
  <c r="I13" i="2"/>
  <c r="I16" i="2" s="1"/>
  <c r="I18" i="2" s="1"/>
  <c r="I8" i="2"/>
  <c r="M28" i="2"/>
  <c r="M27" i="2"/>
  <c r="M26" i="2"/>
  <c r="M19" i="2"/>
  <c r="M18" i="2"/>
  <c r="M8" i="2"/>
  <c r="M13" i="2" s="1"/>
  <c r="M16" i="2" s="1"/>
  <c r="M22" i="2"/>
  <c r="D28" i="1"/>
  <c r="C7" i="1"/>
  <c r="C8" i="1" s="1"/>
  <c r="N52" i="2"/>
  <c r="N59" i="2" s="1"/>
  <c r="N37" i="2"/>
  <c r="N45" i="2" s="1"/>
  <c r="L52" i="2"/>
  <c r="L59" i="2" s="1"/>
  <c r="K52" i="2"/>
  <c r="K59" i="2" s="1"/>
  <c r="J52" i="2"/>
  <c r="J59" i="2" s="1"/>
  <c r="J62" i="2" s="1"/>
  <c r="I52" i="2"/>
  <c r="I59" i="2" s="1"/>
  <c r="H52" i="2"/>
  <c r="H59" i="2" s="1"/>
  <c r="G52" i="2"/>
  <c r="G59" i="2" s="1"/>
  <c r="F52" i="2"/>
  <c r="F59" i="2" s="1"/>
  <c r="E52" i="2"/>
  <c r="E59" i="2" s="1"/>
  <c r="D52" i="2"/>
  <c r="D59" i="2" s="1"/>
  <c r="C52" i="2"/>
  <c r="C59" i="2" s="1"/>
  <c r="L37" i="2"/>
  <c r="L45" i="2" s="1"/>
  <c r="K37" i="2"/>
  <c r="K45" i="2" s="1"/>
  <c r="J37" i="2"/>
  <c r="J45" i="2" s="1"/>
  <c r="I37" i="2"/>
  <c r="I45" i="2" s="1"/>
  <c r="H37" i="2"/>
  <c r="H45" i="2" s="1"/>
  <c r="G37" i="2"/>
  <c r="G45" i="2" s="1"/>
  <c r="F37" i="2"/>
  <c r="F45" i="2" s="1"/>
  <c r="E37" i="2"/>
  <c r="E45" i="2" s="1"/>
  <c r="D37" i="2"/>
  <c r="D45" i="2" s="1"/>
  <c r="C37" i="2"/>
  <c r="C45" i="2" s="1"/>
  <c r="M52" i="2"/>
  <c r="M59" i="2" s="1"/>
  <c r="M62" i="2" s="1"/>
  <c r="M37" i="2"/>
  <c r="M45" i="2" s="1"/>
  <c r="M64" i="2" s="1"/>
  <c r="C12" i="1" l="1"/>
  <c r="J64" i="2"/>
</calcChain>
</file>

<file path=xl/sharedStrings.xml><?xml version="1.0" encoding="utf-8"?>
<sst xmlns="http://schemas.openxmlformats.org/spreadsheetml/2006/main" count="110" uniqueCount="99">
  <si>
    <t>Stock Snapshot</t>
  </si>
  <si>
    <t>Shares</t>
  </si>
  <si>
    <t>Price</t>
  </si>
  <si>
    <t>MC</t>
  </si>
  <si>
    <t>Cash</t>
  </si>
  <si>
    <t>Debt</t>
  </si>
  <si>
    <t>Net Cash</t>
  </si>
  <si>
    <t>EV</t>
  </si>
  <si>
    <t>Management</t>
  </si>
  <si>
    <t>$GEO</t>
  </si>
  <si>
    <t>The GEO Group, Inc.</t>
  </si>
  <si>
    <t>Profile</t>
  </si>
  <si>
    <t>HQ</t>
  </si>
  <si>
    <t>Founded</t>
  </si>
  <si>
    <t>IPO</t>
  </si>
  <si>
    <t>Update</t>
  </si>
  <si>
    <t>Link</t>
  </si>
  <si>
    <t>CEO</t>
  </si>
  <si>
    <t>CFO</t>
  </si>
  <si>
    <t>Founder</t>
  </si>
  <si>
    <t>Dr. George Zoley</t>
  </si>
  <si>
    <t>Exec. Chair</t>
  </si>
  <si>
    <t>Jose Gordo</t>
  </si>
  <si>
    <t>Brian Evans</t>
  </si>
  <si>
    <t>COO</t>
  </si>
  <si>
    <t>Wayne Calabrese</t>
  </si>
  <si>
    <t>Boca Raton, FL</t>
  </si>
  <si>
    <t>Key Events</t>
  </si>
  <si>
    <t>IR</t>
  </si>
  <si>
    <t>Q322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</si>
  <si>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</si>
  <si>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</si>
  <si>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</si>
  <si>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</si>
  <si>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</si>
  <si>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</si>
  <si>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</si>
  <si>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</si>
  <si>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</si>
  <si>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Q422</t>
  </si>
  <si>
    <t>Balance Sheet</t>
  </si>
  <si>
    <t>Restricted Cash</t>
  </si>
  <si>
    <t>A/R</t>
  </si>
  <si>
    <t>Contract Receivables</t>
  </si>
  <si>
    <t>Prepaid Expenses &amp; OCA</t>
  </si>
  <si>
    <t>TCA</t>
  </si>
  <si>
    <t>Investments</t>
  </si>
  <si>
    <t>Operating Lease ROU</t>
  </si>
  <si>
    <t>Assets Held for Sale</t>
  </si>
  <si>
    <t>Intangibles</t>
  </si>
  <si>
    <t>ONCA</t>
  </si>
  <si>
    <t>Assets</t>
  </si>
  <si>
    <t>A/P</t>
  </si>
  <si>
    <t>Accrued Payroll</t>
  </si>
  <si>
    <t>Accrued Expenses</t>
  </si>
  <si>
    <t>Operating Lease Liabilities</t>
  </si>
  <si>
    <t>TCL</t>
  </si>
  <si>
    <t>Deferred Taxes</t>
  </si>
  <si>
    <t>ONCL</t>
  </si>
  <si>
    <t>Finance Lease Liabilities</t>
  </si>
  <si>
    <t>Long-Term Debt</t>
  </si>
  <si>
    <t>Non-Recourse Debt</t>
  </si>
  <si>
    <t>Liabilities</t>
  </si>
  <si>
    <t>S/E</t>
  </si>
  <si>
    <t>S/E+L</t>
  </si>
  <si>
    <t>Current Finance Lease Obligation</t>
  </si>
  <si>
    <t>PP&amp;E</t>
  </si>
  <si>
    <t>Book Value</t>
  </si>
  <si>
    <t>Book Value per Share</t>
  </si>
  <si>
    <t>Revenues</t>
  </si>
  <si>
    <t>Operating Expenses</t>
  </si>
  <si>
    <t>D&amp;A</t>
  </si>
  <si>
    <t>G&amp;A</t>
  </si>
  <si>
    <t>Operating Income</t>
  </si>
  <si>
    <t>Interest Income</t>
  </si>
  <si>
    <t>Interest Expenses</t>
  </si>
  <si>
    <t>Gain on divestitures</t>
  </si>
  <si>
    <t>Pretax Income</t>
  </si>
  <si>
    <t>Taxes</t>
  </si>
  <si>
    <t>Equity in earnings of affiliates</t>
  </si>
  <si>
    <t>Net Income</t>
  </si>
  <si>
    <t>EPS</t>
  </si>
  <si>
    <t>Revenue Y/Y</t>
  </si>
  <si>
    <t>Revenue Q/Q</t>
  </si>
  <si>
    <t>Operating Margin</t>
  </si>
  <si>
    <t>Net Margin</t>
  </si>
  <si>
    <t>Tax Rate</t>
  </si>
  <si>
    <t>(Loss) Gain on Debt</t>
  </si>
  <si>
    <t>Loss to Non-Controlling</t>
  </si>
  <si>
    <t>Net Income The GEO Group</t>
  </si>
  <si>
    <t>Share Price</t>
  </si>
  <si>
    <t>Valuation Metrics</t>
  </si>
  <si>
    <t>P/B</t>
  </si>
  <si>
    <t>P/S</t>
  </si>
  <si>
    <t>EV/S</t>
  </si>
  <si>
    <t>P/E</t>
  </si>
  <si>
    <t>EV/E</t>
  </si>
  <si>
    <t>ROCE</t>
  </si>
  <si>
    <t>Q120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</si>
</sst>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9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4" borderId="0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164" fontId="2" fillId="0" borderId="0" xfId="0" applyNumberFormat="1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16" fontId="9" fillId="0" borderId="0" xfId="0" applyNumberFormat="1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9" fontId="2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0" fontId="10" fillId="0" borderId="0" xfId="0" applyFont="1"/>
    <xf numFmtId="164" fontId="10" fillId="0" borderId="0" xfId="0" applyNumberFormat="1" applyFont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9" fontId="1" fillId="4" borderId="0" xfId="0" applyNumberFormat="1" applyFont="1" applyFill="1" applyBorder="1" applyAlignment="1">
      <alignment horizontal="center"/>
    </xf>
    <xf numFmtId="169" fontId="1" fillId="4" borderId="5" xfId="0" applyNumberFormat="1" applyFont="1" applyFill="1" applyBorder="1" applyAlignment="1">
      <alignment horizontal="center"/>
    </xf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0</xdr:row>
      <xdr:rowOff>88900</xdr:rowOff>
    </xdr:from>
    <xdr:to>
      <xdr:col>5</xdr:col>
      <xdr:colOff>165100</xdr:colOff>
      <xdr:row>3</xdr:row>
      <xdr:rowOff>20782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85FE1-262A-8873-C649-AE283205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0" y="88900"/>
          <a:ext cx="1244600" cy="452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0</xdr:row>
      <xdr:rowOff>0</xdr:rowOff>
    </xdr:from>
    <xdr:to>
      <xdr:col>13</xdr:col>
      <xdr:colOff>25400</xdr:colOff>
      <xdr:row>93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18ACDD-1515-F3F9-1175-2348C9F6D0B3}"/>
            </a:ext>
          </a:extLst>
        </xdr:cNvPr>
        <xdr:cNvCxnSpPr/>
      </xdr:nvCxnSpPr>
      <xdr:spPr>
        <a:xfrm>
          <a:off x="10350500" y="0"/>
          <a:ext cx="0" cy="15443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geogroup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25.q4cdn.com/995724548/files/doc_financials/2022/q3/CR-22-18-The-GEO-Group-Reports-Third-Quarter-2022-Resul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03D-6822-49B4-89BA-170833748021}">
  <dimension ref="A2:O38"/>
  <sheetViews>
    <sheetView tabSelected="1" workbookViewId="0">
      <selection activeCell="Q43" sqref="Q42:Q43"/>
    </sheetView>
  </sheetViews>
  <sheetFormatPr baseColWidth="10" defaultColWidth="9.1640625" defaultRowHeight="13" x14ac:dyDescent="0.15"/>
  <cols>
    <col min="1" max="16384" width="9.1640625" style="1"/>
  </cols>
  <sheetData>
    <row r="2" spans="2:15" ht="15" x14ac:dyDescent="0.2">
      <c r="B2" s="20" t="s">
        <v>9</v>
      </c>
      <c r="E2" s="22"/>
    </row>
    <row r="3" spans="2:15" x14ac:dyDescent="0.15">
      <c r="B3" s="21" t="s">
        <v>10</v>
      </c>
    </row>
    <row r="5" spans="2:15" x14ac:dyDescent="0.15">
      <c r="B5" s="4" t="s">
        <v>0</v>
      </c>
      <c r="C5" s="5"/>
      <c r="D5" s="6"/>
      <c r="G5" s="4" t="s">
        <v>27</v>
      </c>
      <c r="H5" s="5"/>
      <c r="I5" s="5"/>
      <c r="J5" s="5"/>
      <c r="K5" s="5"/>
      <c r="L5" s="5"/>
      <c r="M5" s="5"/>
      <c r="N5" s="5"/>
      <c r="O5" s="6"/>
    </row>
    <row r="6" spans="2:15" x14ac:dyDescent="0.15">
      <c r="B6" s="2" t="s">
        <v>2</v>
      </c>
      <c r="C6" s="1">
        <v>12.04</v>
      </c>
      <c r="D6" s="45"/>
      <c r="G6" s="13"/>
      <c r="H6" s="23"/>
      <c r="I6" s="23"/>
      <c r="J6" s="23"/>
      <c r="K6" s="23"/>
      <c r="L6" s="23"/>
      <c r="M6" s="23"/>
      <c r="N6" s="23"/>
      <c r="O6" s="24"/>
    </row>
    <row r="7" spans="2:15" x14ac:dyDescent="0.15">
      <c r="B7" s="2" t="s">
        <v>1</v>
      </c>
      <c r="C7" s="1">
        <f>'Financial Model'!M20</f>
        <v>121.154</v>
      </c>
      <c r="D7" s="45" t="str">
        <f>$C$28</f>
        <v>Q322</v>
      </c>
      <c r="G7" s="13"/>
      <c r="H7" s="23"/>
      <c r="I7" s="23"/>
      <c r="J7" s="23"/>
      <c r="K7" s="23"/>
      <c r="L7" s="23"/>
      <c r="M7" s="23"/>
      <c r="N7" s="23"/>
      <c r="O7" s="24"/>
    </row>
    <row r="8" spans="2:15" x14ac:dyDescent="0.15">
      <c r="B8" s="2" t="s">
        <v>3</v>
      </c>
      <c r="C8" s="11">
        <f>C6*C7</f>
        <v>1458.6941599999998</v>
      </c>
      <c r="D8" s="45"/>
      <c r="G8" s="13"/>
      <c r="H8" s="23"/>
      <c r="I8" s="23"/>
      <c r="J8" s="23"/>
      <c r="K8" s="23"/>
      <c r="L8" s="23"/>
      <c r="M8" s="23"/>
      <c r="N8" s="23"/>
      <c r="O8" s="24"/>
    </row>
    <row r="9" spans="2:15" x14ac:dyDescent="0.15">
      <c r="B9" s="2" t="s">
        <v>4</v>
      </c>
      <c r="C9" s="11">
        <f>'Financial Model'!M67</f>
        <v>91.644999999999996</v>
      </c>
      <c r="D9" s="45" t="str">
        <f t="shared" ref="D9:D11" si="0">$C$28</f>
        <v>Q322</v>
      </c>
      <c r="G9" s="13"/>
      <c r="H9" s="23"/>
      <c r="I9" s="23"/>
      <c r="J9" s="23"/>
      <c r="K9" s="23"/>
      <c r="L9" s="23"/>
      <c r="M9" s="23"/>
      <c r="N9" s="23"/>
      <c r="O9" s="24"/>
    </row>
    <row r="10" spans="2:15" x14ac:dyDescent="0.15">
      <c r="B10" s="2" t="s">
        <v>5</v>
      </c>
      <c r="C10" s="11">
        <f>'Financial Model'!M68</f>
        <v>1961.402</v>
      </c>
      <c r="D10" s="45" t="str">
        <f t="shared" si="0"/>
        <v>Q322</v>
      </c>
      <c r="G10" s="13"/>
      <c r="H10" s="23"/>
      <c r="I10" s="23"/>
      <c r="J10" s="23"/>
      <c r="K10" s="23"/>
      <c r="L10" s="23"/>
      <c r="M10" s="23"/>
      <c r="N10" s="23"/>
      <c r="O10" s="24"/>
    </row>
    <row r="11" spans="2:15" x14ac:dyDescent="0.15">
      <c r="B11" s="2" t="s">
        <v>6</v>
      </c>
      <c r="C11" s="11">
        <f>C9-C10</f>
        <v>-1869.7570000000001</v>
      </c>
      <c r="D11" s="45" t="str">
        <f t="shared" si="0"/>
        <v>Q322</v>
      </c>
      <c r="G11" s="13"/>
      <c r="H11" s="23"/>
      <c r="I11" s="23"/>
      <c r="J11" s="23"/>
      <c r="K11" s="23"/>
      <c r="L11" s="23"/>
      <c r="M11" s="23"/>
      <c r="N11" s="23"/>
      <c r="O11" s="24"/>
    </row>
    <row r="12" spans="2:15" x14ac:dyDescent="0.15">
      <c r="B12" s="3" t="s">
        <v>7</v>
      </c>
      <c r="C12" s="12">
        <f>C8-C11</f>
        <v>3328.4511599999996</v>
      </c>
      <c r="D12" s="46"/>
      <c r="G12" s="13"/>
      <c r="H12" s="23"/>
      <c r="I12" s="23"/>
      <c r="J12" s="23"/>
      <c r="K12" s="23"/>
      <c r="L12" s="23"/>
      <c r="M12" s="23"/>
      <c r="N12" s="23"/>
      <c r="O12" s="24"/>
    </row>
    <row r="13" spans="2:15" x14ac:dyDescent="0.15">
      <c r="G13" s="13"/>
      <c r="H13" s="23"/>
      <c r="I13" s="23"/>
      <c r="J13" s="23"/>
      <c r="K13" s="23"/>
      <c r="L13" s="23"/>
      <c r="M13" s="23"/>
      <c r="N13" s="23"/>
      <c r="O13" s="24"/>
    </row>
    <row r="14" spans="2:15" x14ac:dyDescent="0.15">
      <c r="G14" s="13"/>
      <c r="H14" s="23"/>
      <c r="I14" s="23"/>
      <c r="J14" s="23"/>
      <c r="K14" s="23"/>
      <c r="L14" s="23"/>
      <c r="M14" s="23"/>
      <c r="N14" s="23"/>
      <c r="O14" s="24"/>
    </row>
    <row r="15" spans="2:15" x14ac:dyDescent="0.15">
      <c r="B15" s="4" t="s">
        <v>8</v>
      </c>
      <c r="C15" s="5"/>
      <c r="D15" s="6"/>
      <c r="G15" s="13"/>
      <c r="H15" s="23"/>
      <c r="I15" s="23"/>
      <c r="J15" s="23"/>
      <c r="K15" s="23"/>
      <c r="L15" s="23"/>
      <c r="M15" s="23"/>
      <c r="N15" s="23"/>
      <c r="O15" s="24"/>
    </row>
    <row r="16" spans="2:15" x14ac:dyDescent="0.15">
      <c r="B16" s="17" t="s">
        <v>17</v>
      </c>
      <c r="C16" s="7" t="s">
        <v>22</v>
      </c>
      <c r="D16" s="8"/>
      <c r="G16" s="13"/>
      <c r="H16" s="23"/>
      <c r="I16" s="23"/>
      <c r="J16" s="23"/>
      <c r="K16" s="23"/>
      <c r="L16" s="23"/>
      <c r="M16" s="23"/>
      <c r="N16" s="23"/>
      <c r="O16" s="24"/>
    </row>
    <row r="17" spans="1:15" x14ac:dyDescent="0.15">
      <c r="B17" s="17" t="s">
        <v>18</v>
      </c>
      <c r="C17" s="7" t="s">
        <v>23</v>
      </c>
      <c r="D17" s="8"/>
      <c r="G17" s="13"/>
      <c r="H17" s="23"/>
      <c r="I17" s="23"/>
      <c r="J17" s="23"/>
      <c r="K17" s="23"/>
      <c r="L17" s="23"/>
      <c r="M17" s="23"/>
      <c r="N17" s="23"/>
      <c r="O17" s="24"/>
    </row>
    <row r="18" spans="1:15" x14ac:dyDescent="0.15">
      <c r="B18" s="17" t="s">
        <v>24</v>
      </c>
      <c r="C18" s="7" t="s">
        <v>25</v>
      </c>
      <c r="D18" s="8"/>
      <c r="G18" s="13"/>
      <c r="H18" s="23"/>
      <c r="I18" s="23"/>
      <c r="J18" s="23"/>
      <c r="K18" s="23"/>
      <c r="L18" s="23"/>
      <c r="M18" s="23"/>
      <c r="N18" s="23"/>
      <c r="O18" s="24"/>
    </row>
    <row r="19" spans="1:15" x14ac:dyDescent="0.15">
      <c r="A19" s="19" t="s">
        <v>21</v>
      </c>
      <c r="B19" s="18" t="s">
        <v>19</v>
      </c>
      <c r="C19" s="9" t="s">
        <v>20</v>
      </c>
      <c r="D19" s="10"/>
      <c r="G19" s="13"/>
      <c r="H19" s="23"/>
      <c r="I19" s="23"/>
      <c r="J19" s="23"/>
      <c r="K19" s="23"/>
      <c r="L19" s="23"/>
      <c r="M19" s="23"/>
      <c r="N19" s="23"/>
      <c r="O19" s="24"/>
    </row>
    <row r="20" spans="1:15" x14ac:dyDescent="0.15">
      <c r="G20" s="13"/>
      <c r="H20" s="23"/>
      <c r="I20" s="23"/>
      <c r="J20" s="23"/>
      <c r="K20" s="23"/>
      <c r="L20" s="23"/>
      <c r="M20" s="23"/>
      <c r="N20" s="23"/>
      <c r="O20" s="24"/>
    </row>
    <row r="21" spans="1:15" x14ac:dyDescent="0.15">
      <c r="G21" s="13"/>
      <c r="H21" s="23"/>
      <c r="I21" s="23"/>
      <c r="J21" s="23"/>
      <c r="K21" s="23"/>
      <c r="L21" s="23"/>
      <c r="M21" s="23"/>
      <c r="N21" s="23"/>
      <c r="O21" s="24"/>
    </row>
    <row r="22" spans="1:15" x14ac:dyDescent="0.15">
      <c r="B22" s="4" t="s">
        <v>11</v>
      </c>
      <c r="C22" s="5"/>
      <c r="D22" s="6"/>
      <c r="G22" s="25"/>
      <c r="H22" s="26"/>
      <c r="I22" s="26"/>
      <c r="J22" s="26"/>
      <c r="K22" s="26"/>
      <c r="L22" s="26"/>
      <c r="M22" s="26"/>
      <c r="N22" s="26"/>
      <c r="O22" s="27"/>
    </row>
    <row r="23" spans="1:15" x14ac:dyDescent="0.15">
      <c r="B23" s="14" t="s">
        <v>12</v>
      </c>
      <c r="C23" s="15" t="s">
        <v>26</v>
      </c>
      <c r="D23" s="8"/>
    </row>
    <row r="24" spans="1:15" x14ac:dyDescent="0.15">
      <c r="B24" s="14" t="s">
        <v>13</v>
      </c>
      <c r="C24" s="15">
        <v>1984</v>
      </c>
      <c r="D24" s="8"/>
    </row>
    <row r="25" spans="1:15" x14ac:dyDescent="0.15">
      <c r="B25" s="14" t="s">
        <v>14</v>
      </c>
      <c r="C25" s="15"/>
      <c r="D25" s="8"/>
    </row>
    <row r="26" spans="1:15" x14ac:dyDescent="0.15">
      <c r="B26" s="14"/>
      <c r="C26" s="15"/>
      <c r="D26" s="8"/>
    </row>
    <row r="27" spans="1:15" x14ac:dyDescent="0.15">
      <c r="B27" s="14"/>
      <c r="C27" s="15"/>
      <c r="D27" s="8"/>
    </row>
    <row r="28" spans="1:15" x14ac:dyDescent="0.15">
      <c r="B28" s="14" t="s">
        <v>15</v>
      </c>
      <c r="C28" s="28" t="s">
        <v>29</v>
      </c>
      <c r="D28" s="39">
        <f>'Financial Model'!M3</f>
        <v>45226</v>
      </c>
    </row>
    <row r="29" spans="1:15" x14ac:dyDescent="0.15">
      <c r="B29" s="16" t="s">
        <v>28</v>
      </c>
      <c r="C29" s="29" t="s">
        <v>16</v>
      </c>
      <c r="D29" s="30"/>
    </row>
    <row r="32" spans="1:15" x14ac:dyDescent="0.15">
      <c r="B32" s="4" t="s">
        <v>91</v>
      </c>
      <c r="C32" s="5"/>
      <c r="D32" s="6"/>
    </row>
    <row r="33" spans="2:4" x14ac:dyDescent="0.15">
      <c r="B33" s="14" t="s">
        <v>92</v>
      </c>
      <c r="C33" s="47">
        <f>C6/'Financial Model'!M65</f>
        <v>1.3134525743305294</v>
      </c>
      <c r="D33" s="48"/>
    </row>
    <row r="34" spans="2:4" x14ac:dyDescent="0.15">
      <c r="B34" s="14" t="s">
        <v>93</v>
      </c>
      <c r="C34" s="15"/>
      <c r="D34" s="8"/>
    </row>
    <row r="35" spans="2:4" x14ac:dyDescent="0.15">
      <c r="B35" s="14" t="s">
        <v>94</v>
      </c>
      <c r="C35" s="15"/>
      <c r="D35" s="8"/>
    </row>
    <row r="36" spans="2:4" x14ac:dyDescent="0.15">
      <c r="B36" s="14" t="s">
        <v>95</v>
      </c>
      <c r="C36" s="15"/>
      <c r="D36" s="8"/>
    </row>
    <row r="37" spans="2:4" x14ac:dyDescent="0.15">
      <c r="B37" s="14" t="s">
        <v>96</v>
      </c>
      <c r="C37" s="15"/>
      <c r="D37" s="8"/>
    </row>
    <row r="38" spans="2:4" x14ac:dyDescent="0.15">
      <c r="B38" s="16" t="s">
        <v>97</v>
      </c>
      <c r="C38" s="9"/>
      <c r="D38" s="10"/>
    </row>
  </sheetData>
  <mergeCells count="21">
    <mergeCell ref="C38:D38"/>
    <mergeCell ref="C33:D33"/>
    <mergeCell ref="C34:D34"/>
    <mergeCell ref="C35:D35"/>
    <mergeCell ref="C36:D36"/>
    <mergeCell ref="C37:D37"/>
    <mergeCell ref="C27:D27"/>
    <mergeCell ref="C29:D29"/>
    <mergeCell ref="G5:O5"/>
    <mergeCell ref="B32:D32"/>
    <mergeCell ref="B22:D22"/>
    <mergeCell ref="C23:D23"/>
    <mergeCell ref="C24:D24"/>
    <mergeCell ref="C25:D25"/>
    <mergeCell ref="C26:D26"/>
    <mergeCell ref="B5:D5"/>
    <mergeCell ref="B15:D15"/>
    <mergeCell ref="C16:D16"/>
    <mergeCell ref="C17:D17"/>
    <mergeCell ref="C19:D19"/>
    <mergeCell ref="C18:D18"/>
  </mergeCells>
  <hyperlinks>
    <hyperlink ref="C29:D29" r:id="rId1" display="Link" xr:uid="{59EB0977-29E5-6644-B546-70A523E0BB16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DCCC-3188-4401-8BD1-CCBA020F892C}">
  <dimension ref="B1:N7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5" sqref="D25"/>
    </sheetView>
  </sheetViews>
  <sheetFormatPr baseColWidth="10" defaultColWidth="9.1640625" defaultRowHeight="13" x14ac:dyDescent="0.15"/>
  <cols>
    <col min="1" max="1" width="5" style="1" customWidth="1"/>
    <col min="2" max="2" width="27.6640625" style="1" bestFit="1" customWidth="1"/>
    <col min="3" max="9" width="9.1640625" style="1"/>
    <col min="10" max="10" width="10.1640625" style="1" bestFit="1" customWidth="1"/>
    <col min="11" max="12" width="9.1640625" style="1"/>
    <col min="13" max="13" width="10.1640625" style="1" bestFit="1" customWidth="1"/>
    <col min="14" max="16384" width="9.1640625" style="1"/>
  </cols>
  <sheetData>
    <row r="1" spans="2:14" s="31" customFormat="1" x14ac:dyDescent="0.15">
      <c r="C1" s="31" t="s">
        <v>98</v>
      </c>
      <c r="D1" s="31" t="s">
        <v>38</v>
      </c>
      <c r="E1" s="31" t="s">
        <v>37</v>
      </c>
      <c r="F1" s="31" t="s">
        <v>36</v>
      </c>
      <c r="G1" s="31" t="s">
        <v>35</v>
      </c>
      <c r="H1" s="31" t="s">
        <v>34</v>
      </c>
      <c r="I1" s="31" t="s">
        <v>33</v>
      </c>
      <c r="J1" s="31" t="s">
        <v>32</v>
      </c>
      <c r="K1" s="31" t="s">
        <v>31</v>
      </c>
      <c r="L1" s="31" t="s">
        <v>30</v>
      </c>
      <c r="M1" s="32" t="s">
        <v>29</v>
      </c>
      <c r="N1" s="31" t="s">
        <v>39</v>
      </c>
    </row>
    <row r="2" spans="2:14" s="36" customFormat="1" x14ac:dyDescent="0.15">
      <c r="B2" s="33"/>
      <c r="I2" s="37">
        <v>44469</v>
      </c>
      <c r="J2" s="37">
        <v>44561</v>
      </c>
      <c r="M2" s="37">
        <v>44834</v>
      </c>
    </row>
    <row r="3" spans="2:14" s="36" customFormat="1" x14ac:dyDescent="0.15">
      <c r="B3" s="33"/>
      <c r="M3" s="38">
        <v>45226</v>
      </c>
      <c r="N3" s="38">
        <v>44971</v>
      </c>
    </row>
    <row r="4" spans="2:14" s="21" customFormat="1" x14ac:dyDescent="0.15">
      <c r="B4" s="21" t="s">
        <v>69</v>
      </c>
      <c r="I4" s="35">
        <v>557.27700000000004</v>
      </c>
      <c r="M4" s="35">
        <v>616.68299999999999</v>
      </c>
    </row>
    <row r="5" spans="2:14" x14ac:dyDescent="0.15">
      <c r="B5" s="1" t="s">
        <v>70</v>
      </c>
      <c r="I5" s="11">
        <v>399.9</v>
      </c>
      <c r="M5" s="11">
        <v>436.21</v>
      </c>
    </row>
    <row r="6" spans="2:14" x14ac:dyDescent="0.15">
      <c r="B6" s="1" t="s">
        <v>71</v>
      </c>
      <c r="I6" s="11">
        <v>32.883000000000003</v>
      </c>
      <c r="M6" s="11">
        <v>32.33</v>
      </c>
    </row>
    <row r="7" spans="2:14" x14ac:dyDescent="0.15">
      <c r="B7" s="1" t="s">
        <v>72</v>
      </c>
      <c r="I7" s="11">
        <v>50.475000000000001</v>
      </c>
      <c r="M7" s="11">
        <v>50.021999999999998</v>
      </c>
    </row>
    <row r="8" spans="2:14" s="21" customFormat="1" x14ac:dyDescent="0.15">
      <c r="B8" s="21" t="s">
        <v>73</v>
      </c>
      <c r="I8" s="35">
        <f>I4-I5-I6-I7</f>
        <v>74.019000000000062</v>
      </c>
      <c r="M8" s="35">
        <f>M4-M5-M6-M7</f>
        <v>98.121000000000038</v>
      </c>
    </row>
    <row r="9" spans="2:14" x14ac:dyDescent="0.15">
      <c r="B9" s="1" t="s">
        <v>74</v>
      </c>
      <c r="I9" s="11">
        <v>5.99</v>
      </c>
      <c r="M9" s="11">
        <v>5.1109999999999998</v>
      </c>
    </row>
    <row r="10" spans="2:14" x14ac:dyDescent="0.15">
      <c r="B10" s="1" t="s">
        <v>75</v>
      </c>
      <c r="I10" s="11">
        <v>32.524999999999999</v>
      </c>
      <c r="M10" s="11">
        <v>46.536999999999999</v>
      </c>
    </row>
    <row r="11" spans="2:14" x14ac:dyDescent="0.15">
      <c r="B11" s="1" t="s">
        <v>87</v>
      </c>
      <c r="I11" s="11">
        <v>0</v>
      </c>
      <c r="M11" s="11">
        <v>-37.487000000000002</v>
      </c>
    </row>
    <row r="12" spans="2:14" x14ac:dyDescent="0.15">
      <c r="B12" s="1" t="s">
        <v>76</v>
      </c>
      <c r="I12" s="11">
        <v>-6.0880000000000001</v>
      </c>
      <c r="M12" s="11">
        <v>29.279</v>
      </c>
    </row>
    <row r="13" spans="2:14" x14ac:dyDescent="0.15">
      <c r="B13" s="1" t="s">
        <v>77</v>
      </c>
      <c r="I13" s="11">
        <f>I8+I9-I10+I11+I12</f>
        <v>41.396000000000058</v>
      </c>
      <c r="M13" s="11">
        <f>M8+M9-M10+M11+M12</f>
        <v>48.487000000000037</v>
      </c>
    </row>
    <row r="14" spans="2:14" x14ac:dyDescent="0.15">
      <c r="B14" s="1" t="s">
        <v>78</v>
      </c>
      <c r="I14" s="11">
        <v>8.3949999999999996</v>
      </c>
      <c r="M14" s="11">
        <v>11.246</v>
      </c>
    </row>
    <row r="15" spans="2:14" x14ac:dyDescent="0.15">
      <c r="B15" s="1" t="s">
        <v>79</v>
      </c>
      <c r="I15" s="11">
        <v>1.64</v>
      </c>
      <c r="M15" s="11">
        <v>1.071</v>
      </c>
    </row>
    <row r="16" spans="2:14" s="21" customFormat="1" x14ac:dyDescent="0.15">
      <c r="B16" s="21" t="s">
        <v>80</v>
      </c>
      <c r="I16" s="35">
        <f>I13-I14+I15</f>
        <v>34.641000000000062</v>
      </c>
      <c r="M16" s="35">
        <f>M13-M14+M15</f>
        <v>38.312000000000033</v>
      </c>
    </row>
    <row r="17" spans="2:13" x14ac:dyDescent="0.15">
      <c r="B17" s="1" t="s">
        <v>88</v>
      </c>
      <c r="I17" s="11">
        <v>6.9000000000000006E-2</v>
      </c>
      <c r="M17" s="11">
        <v>2.5000000000000001E-2</v>
      </c>
    </row>
    <row r="18" spans="2:13" x14ac:dyDescent="0.15">
      <c r="B18" s="1" t="s">
        <v>89</v>
      </c>
      <c r="I18" s="11">
        <f>I16+I17</f>
        <v>34.710000000000065</v>
      </c>
      <c r="M18" s="11">
        <f>M16+M17</f>
        <v>38.337000000000032</v>
      </c>
    </row>
    <row r="19" spans="2:13" x14ac:dyDescent="0.15">
      <c r="B19" s="1" t="s">
        <v>81</v>
      </c>
      <c r="I19" s="11">
        <f>I18/I20</f>
        <v>0.28799004355942803</v>
      </c>
      <c r="M19" s="41">
        <f>M18/M20</f>
        <v>0.31643197913399501</v>
      </c>
    </row>
    <row r="20" spans="2:13" s="11" customFormat="1" x14ac:dyDescent="0.15">
      <c r="B20" s="11" t="s">
        <v>1</v>
      </c>
      <c r="I20" s="11">
        <v>120.52500000000001</v>
      </c>
      <c r="M20" s="11">
        <v>121.154</v>
      </c>
    </row>
    <row r="21" spans="2:13" s="11" customFormat="1" x14ac:dyDescent="0.15"/>
    <row r="22" spans="2:13" s="35" customFormat="1" x14ac:dyDescent="0.15">
      <c r="B22" s="35" t="s">
        <v>82</v>
      </c>
      <c r="M22" s="40">
        <f>M4/I4-1</f>
        <v>0.10660048772872366</v>
      </c>
    </row>
    <row r="23" spans="2:13" s="11" customFormat="1" x14ac:dyDescent="0.15">
      <c r="B23" s="11" t="s">
        <v>83</v>
      </c>
    </row>
    <row r="24" spans="2:13" s="11" customFormat="1" x14ac:dyDescent="0.15"/>
    <row r="26" spans="2:13" x14ac:dyDescent="0.15">
      <c r="B26" s="1" t="s">
        <v>84</v>
      </c>
      <c r="I26" s="42">
        <f>I8/I4</f>
        <v>0.1328226357807698</v>
      </c>
      <c r="M26" s="42">
        <f>M8/M4</f>
        <v>0.15911092084588035</v>
      </c>
    </row>
    <row r="27" spans="2:13" x14ac:dyDescent="0.15">
      <c r="B27" s="1" t="s">
        <v>85</v>
      </c>
      <c r="I27" s="42">
        <f>I16/I4</f>
        <v>6.2161187344893218E-2</v>
      </c>
      <c r="M27" s="42">
        <f>M16/M4</f>
        <v>6.212592207017225E-2</v>
      </c>
    </row>
    <row r="28" spans="2:13" x14ac:dyDescent="0.15">
      <c r="B28" s="1" t="s">
        <v>86</v>
      </c>
      <c r="I28" s="42">
        <f>I14/I13</f>
        <v>0.20279737172673659</v>
      </c>
      <c r="M28" s="42">
        <f>M14/M13</f>
        <v>0.23193845773093802</v>
      </c>
    </row>
    <row r="31" spans="2:13" x14ac:dyDescent="0.15">
      <c r="B31" s="34" t="s">
        <v>40</v>
      </c>
    </row>
    <row r="32" spans="2:13" s="21" customFormat="1" x14ac:dyDescent="0.15">
      <c r="B32" s="21" t="s">
        <v>4</v>
      </c>
      <c r="J32" s="35">
        <v>506.49099999999999</v>
      </c>
      <c r="M32" s="35">
        <v>91.644999999999996</v>
      </c>
    </row>
    <row r="33" spans="2:14" x14ac:dyDescent="0.15">
      <c r="B33" s="1" t="s">
        <v>41</v>
      </c>
      <c r="J33" s="11">
        <v>20.161000000000001</v>
      </c>
      <c r="M33" s="11">
        <v>0</v>
      </c>
    </row>
    <row r="34" spans="2:14" x14ac:dyDescent="0.15">
      <c r="B34" s="1" t="s">
        <v>42</v>
      </c>
      <c r="J34" s="11">
        <v>365.57299999999998</v>
      </c>
      <c r="M34" s="11">
        <v>383.69400000000002</v>
      </c>
    </row>
    <row r="35" spans="2:14" x14ac:dyDescent="0.15">
      <c r="B35" s="1" t="s">
        <v>43</v>
      </c>
      <c r="J35" s="11">
        <v>6.5069999999999997</v>
      </c>
      <c r="M35" s="11">
        <v>0</v>
      </c>
    </row>
    <row r="36" spans="2:14" x14ac:dyDescent="0.15">
      <c r="B36" s="1" t="s">
        <v>44</v>
      </c>
      <c r="J36" s="11">
        <v>45.176000000000002</v>
      </c>
      <c r="M36" s="11">
        <v>40.387999999999998</v>
      </c>
    </row>
    <row r="37" spans="2:14" x14ac:dyDescent="0.15">
      <c r="B37" s="1" t="s">
        <v>45</v>
      </c>
      <c r="C37" s="1">
        <f t="shared" ref="C37:N37" si="0">SUM(C32:C36)</f>
        <v>0</v>
      </c>
      <c r="D37" s="1">
        <f t="shared" si="0"/>
        <v>0</v>
      </c>
      <c r="E37" s="1">
        <f t="shared" si="0"/>
        <v>0</v>
      </c>
      <c r="F37" s="1">
        <f t="shared" si="0"/>
        <v>0</v>
      </c>
      <c r="G37" s="1">
        <f t="shared" si="0"/>
        <v>0</v>
      </c>
      <c r="H37" s="1">
        <f t="shared" si="0"/>
        <v>0</v>
      </c>
      <c r="I37" s="1">
        <f t="shared" si="0"/>
        <v>0</v>
      </c>
      <c r="J37" s="11">
        <f t="shared" si="0"/>
        <v>943.90800000000002</v>
      </c>
      <c r="K37" s="1">
        <f t="shared" si="0"/>
        <v>0</v>
      </c>
      <c r="L37" s="1">
        <f t="shared" si="0"/>
        <v>0</v>
      </c>
      <c r="M37" s="11">
        <f>SUM(M32:M36)</f>
        <v>515.72699999999998</v>
      </c>
      <c r="N37" s="1">
        <f t="shared" si="0"/>
        <v>0</v>
      </c>
    </row>
    <row r="38" spans="2:14" x14ac:dyDescent="0.15">
      <c r="B38" s="1" t="s">
        <v>46</v>
      </c>
      <c r="J38" s="11">
        <v>76.158000000000001</v>
      </c>
      <c r="M38" s="11">
        <v>89.76</v>
      </c>
    </row>
    <row r="39" spans="2:14" x14ac:dyDescent="0.15">
      <c r="B39" s="1" t="s">
        <v>66</v>
      </c>
      <c r="J39" s="11">
        <v>2037.845</v>
      </c>
      <c r="M39" s="11">
        <v>2012.6790000000001</v>
      </c>
    </row>
    <row r="40" spans="2:14" x14ac:dyDescent="0.15">
      <c r="B40" s="1" t="s">
        <v>43</v>
      </c>
      <c r="J40" s="11">
        <v>367.07100000000003</v>
      </c>
      <c r="M40" s="11">
        <v>0</v>
      </c>
    </row>
    <row r="41" spans="2:14" x14ac:dyDescent="0.15">
      <c r="B41" s="1" t="s">
        <v>47</v>
      </c>
      <c r="J41" s="11">
        <v>112.187</v>
      </c>
      <c r="M41" s="11">
        <v>95.119</v>
      </c>
    </row>
    <row r="42" spans="2:14" x14ac:dyDescent="0.15">
      <c r="B42" s="1" t="s">
        <v>48</v>
      </c>
      <c r="J42" s="11">
        <v>7.8769999999999998</v>
      </c>
      <c r="M42" s="11">
        <v>0.48</v>
      </c>
    </row>
    <row r="43" spans="2:14" x14ac:dyDescent="0.15">
      <c r="B43" s="1" t="s">
        <v>49</v>
      </c>
      <c r="J43" s="11">
        <v>921.34900000000005</v>
      </c>
      <c r="M43" s="11">
        <v>906.45100000000002</v>
      </c>
    </row>
    <row r="44" spans="2:14" x14ac:dyDescent="0.15">
      <c r="B44" s="1" t="s">
        <v>50</v>
      </c>
      <c r="J44" s="11">
        <v>71.013000000000005</v>
      </c>
      <c r="M44" s="11">
        <v>84.292000000000002</v>
      </c>
    </row>
    <row r="45" spans="2:14" x14ac:dyDescent="0.15">
      <c r="B45" s="1" t="s">
        <v>51</v>
      </c>
      <c r="C45" s="1">
        <f t="shared" ref="C45:N45" si="1">SUM(C38:C44)+C37</f>
        <v>0</v>
      </c>
      <c r="D45" s="1">
        <f t="shared" si="1"/>
        <v>0</v>
      </c>
      <c r="E45" s="1">
        <f t="shared" si="1"/>
        <v>0</v>
      </c>
      <c r="F45" s="1">
        <f t="shared" si="1"/>
        <v>0</v>
      </c>
      <c r="G45" s="1">
        <f t="shared" si="1"/>
        <v>0</v>
      </c>
      <c r="H45" s="1">
        <f t="shared" si="1"/>
        <v>0</v>
      </c>
      <c r="I45" s="1">
        <f t="shared" si="1"/>
        <v>0</v>
      </c>
      <c r="J45" s="11">
        <f t="shared" si="1"/>
        <v>4537.4080000000004</v>
      </c>
      <c r="K45" s="1">
        <f t="shared" si="1"/>
        <v>0</v>
      </c>
      <c r="L45" s="1">
        <f t="shared" si="1"/>
        <v>0</v>
      </c>
      <c r="M45" s="11">
        <f>SUM(M38:M44)+M37</f>
        <v>3704.5080000000003</v>
      </c>
      <c r="N45" s="1">
        <f t="shared" si="1"/>
        <v>0</v>
      </c>
    </row>
    <row r="46" spans="2:14" x14ac:dyDescent="0.15">
      <c r="J46" s="11"/>
    </row>
    <row r="47" spans="2:14" x14ac:dyDescent="0.15">
      <c r="B47" s="1" t="s">
        <v>52</v>
      </c>
      <c r="J47" s="11">
        <v>64.072999999999993</v>
      </c>
      <c r="M47" s="11">
        <v>71.408000000000001</v>
      </c>
    </row>
    <row r="48" spans="2:14" x14ac:dyDescent="0.15">
      <c r="B48" s="1" t="s">
        <v>53</v>
      </c>
      <c r="J48" s="11">
        <v>67.209999999999994</v>
      </c>
      <c r="M48" s="11">
        <v>68.777000000000001</v>
      </c>
    </row>
    <row r="49" spans="2:14" x14ac:dyDescent="0.15">
      <c r="B49" s="1" t="s">
        <v>54</v>
      </c>
      <c r="J49" s="11">
        <v>200.71199999999999</v>
      </c>
      <c r="M49" s="11">
        <v>218.62799999999999</v>
      </c>
    </row>
    <row r="50" spans="2:14" x14ac:dyDescent="0.15">
      <c r="B50" s="1" t="s">
        <v>55</v>
      </c>
      <c r="J50" s="11">
        <v>28.279</v>
      </c>
      <c r="M50" s="11">
        <v>23.91</v>
      </c>
    </row>
    <row r="51" spans="2:14" x14ac:dyDescent="0.15">
      <c r="B51" s="1" t="s">
        <v>65</v>
      </c>
      <c r="J51" s="11">
        <v>18.568000000000001</v>
      </c>
      <c r="M51" s="11">
        <v>44.701999999999998</v>
      </c>
    </row>
    <row r="52" spans="2:14" x14ac:dyDescent="0.15">
      <c r="B52" s="1" t="s">
        <v>56</v>
      </c>
      <c r="C52" s="1">
        <f t="shared" ref="C52:N52" si="2">SUM(C47:C51)</f>
        <v>0</v>
      </c>
      <c r="D52" s="1">
        <f t="shared" si="2"/>
        <v>0</v>
      </c>
      <c r="E52" s="1">
        <f t="shared" si="2"/>
        <v>0</v>
      </c>
      <c r="F52" s="1">
        <f t="shared" si="2"/>
        <v>0</v>
      </c>
      <c r="G52" s="1">
        <f t="shared" si="2"/>
        <v>0</v>
      </c>
      <c r="H52" s="1">
        <f t="shared" si="2"/>
        <v>0</v>
      </c>
      <c r="I52" s="1">
        <f t="shared" si="2"/>
        <v>0</v>
      </c>
      <c r="J52" s="11">
        <f t="shared" si="2"/>
        <v>378.84199999999998</v>
      </c>
      <c r="K52" s="1">
        <f t="shared" si="2"/>
        <v>0</v>
      </c>
      <c r="L52" s="1">
        <f t="shared" si="2"/>
        <v>0</v>
      </c>
      <c r="M52" s="11">
        <f>SUM(M47:M51)</f>
        <v>427.42500000000001</v>
      </c>
      <c r="N52" s="1">
        <f t="shared" si="2"/>
        <v>0</v>
      </c>
    </row>
    <row r="53" spans="2:14" x14ac:dyDescent="0.15">
      <c r="B53" s="1" t="s">
        <v>57</v>
      </c>
      <c r="J53" s="11">
        <v>80.768000000000001</v>
      </c>
      <c r="M53" s="11">
        <v>45.073999999999998</v>
      </c>
    </row>
    <row r="54" spans="2:14" x14ac:dyDescent="0.15">
      <c r="B54" s="1" t="s">
        <v>58</v>
      </c>
      <c r="J54" s="11">
        <v>87.072999999999993</v>
      </c>
      <c r="M54" s="11">
        <v>81.593000000000004</v>
      </c>
    </row>
    <row r="55" spans="2:14" x14ac:dyDescent="0.15">
      <c r="B55" s="1" t="s">
        <v>55</v>
      </c>
      <c r="J55" s="11">
        <v>89.917000000000002</v>
      </c>
      <c r="M55" s="11">
        <v>76.977000000000004</v>
      </c>
    </row>
    <row r="56" spans="2:14" x14ac:dyDescent="0.15">
      <c r="B56" s="1" t="s">
        <v>59</v>
      </c>
      <c r="J56" s="11">
        <v>1.9770000000000001</v>
      </c>
      <c r="M56" s="11">
        <v>1.4570000000000001</v>
      </c>
    </row>
    <row r="57" spans="2:14" s="21" customFormat="1" x14ac:dyDescent="0.15">
      <c r="B57" s="21" t="s">
        <v>60</v>
      </c>
      <c r="J57" s="35">
        <v>2625.9589999999998</v>
      </c>
      <c r="M57" s="35">
        <v>1961.402</v>
      </c>
    </row>
    <row r="58" spans="2:14" s="21" customFormat="1" x14ac:dyDescent="0.15">
      <c r="B58" s="21" t="s">
        <v>61</v>
      </c>
      <c r="J58" s="35">
        <v>297.85599999999999</v>
      </c>
      <c r="M58" s="35">
        <v>0</v>
      </c>
    </row>
    <row r="59" spans="2:14" x14ac:dyDescent="0.15">
      <c r="B59" s="1" t="s">
        <v>62</v>
      </c>
      <c r="C59" s="1">
        <f t="shared" ref="C59:N59" si="3">SUM(C52:C58)</f>
        <v>0</v>
      </c>
      <c r="D59" s="1">
        <f t="shared" si="3"/>
        <v>0</v>
      </c>
      <c r="E59" s="1">
        <f t="shared" si="3"/>
        <v>0</v>
      </c>
      <c r="F59" s="1">
        <f t="shared" si="3"/>
        <v>0</v>
      </c>
      <c r="G59" s="1">
        <f t="shared" si="3"/>
        <v>0</v>
      </c>
      <c r="H59" s="1">
        <f t="shared" si="3"/>
        <v>0</v>
      </c>
      <c r="I59" s="1">
        <f t="shared" si="3"/>
        <v>0</v>
      </c>
      <c r="J59" s="11">
        <f t="shared" si="3"/>
        <v>3562.3919999999998</v>
      </c>
      <c r="K59" s="1">
        <f t="shared" si="3"/>
        <v>0</v>
      </c>
      <c r="L59" s="1">
        <f t="shared" si="3"/>
        <v>0</v>
      </c>
      <c r="M59" s="11">
        <f>SUM(M52:M58)</f>
        <v>2593.9279999999999</v>
      </c>
      <c r="N59" s="1">
        <f t="shared" si="3"/>
        <v>0</v>
      </c>
    </row>
    <row r="60" spans="2:14" x14ac:dyDescent="0.15">
      <c r="J60" s="11"/>
      <c r="M60" s="11"/>
    </row>
    <row r="61" spans="2:14" x14ac:dyDescent="0.15">
      <c r="B61" s="1" t="s">
        <v>63</v>
      </c>
      <c r="J61" s="11">
        <v>975.01599999999996</v>
      </c>
      <c r="M61" s="11">
        <v>1110.58</v>
      </c>
    </row>
    <row r="62" spans="2:14" x14ac:dyDescent="0.15">
      <c r="B62" s="1" t="s">
        <v>64</v>
      </c>
      <c r="J62" s="11">
        <f>J61+J59</f>
        <v>4537.4079999999994</v>
      </c>
      <c r="M62" s="11">
        <f>M61+M59</f>
        <v>3704.5079999999998</v>
      </c>
    </row>
    <row r="64" spans="2:14" x14ac:dyDescent="0.15">
      <c r="B64" s="1" t="s">
        <v>67</v>
      </c>
      <c r="J64" s="11">
        <f>J45-J59</f>
        <v>975.01600000000053</v>
      </c>
      <c r="M64" s="11">
        <f>M45-M59</f>
        <v>1110.5800000000004</v>
      </c>
    </row>
    <row r="65" spans="2:13" x14ac:dyDescent="0.15">
      <c r="B65" s="1" t="s">
        <v>68</v>
      </c>
      <c r="M65" s="1">
        <f>M64/M20</f>
        <v>9.1666804232629584</v>
      </c>
    </row>
    <row r="67" spans="2:13" s="43" customFormat="1" x14ac:dyDescent="0.15">
      <c r="B67" s="43" t="s">
        <v>4</v>
      </c>
      <c r="J67" s="44">
        <f>+J32</f>
        <v>506.49099999999999</v>
      </c>
      <c r="M67" s="44">
        <f>+M32</f>
        <v>91.644999999999996</v>
      </c>
    </row>
    <row r="68" spans="2:13" s="43" customFormat="1" x14ac:dyDescent="0.15">
      <c r="B68" s="43" t="s">
        <v>5</v>
      </c>
      <c r="J68" s="44">
        <f>J57+J58</f>
        <v>2923.8149999999996</v>
      </c>
      <c r="M68" s="44">
        <f>M57+M58</f>
        <v>1961.402</v>
      </c>
    </row>
    <row r="69" spans="2:13" x14ac:dyDescent="0.15">
      <c r="B69" s="1" t="s">
        <v>6</v>
      </c>
      <c r="J69" s="11">
        <f>J67-J68</f>
        <v>-2417.3239999999996</v>
      </c>
      <c r="M69" s="11">
        <f>M67-M68</f>
        <v>-1869.7570000000001</v>
      </c>
    </row>
    <row r="71" spans="2:13" s="41" customFormat="1" x14ac:dyDescent="0.15">
      <c r="B71" s="41" t="s">
        <v>90</v>
      </c>
      <c r="M71" s="41">
        <v>7.7</v>
      </c>
    </row>
    <row r="72" spans="2:13" s="11" customFormat="1" x14ac:dyDescent="0.15">
      <c r="B72" s="11" t="s">
        <v>3</v>
      </c>
      <c r="M72" s="11">
        <f>M71*M20</f>
        <v>932.88580000000002</v>
      </c>
    </row>
    <row r="73" spans="2:13" s="11" customFormat="1" x14ac:dyDescent="0.15">
      <c r="B73" s="11" t="s">
        <v>7</v>
      </c>
      <c r="M73" s="11">
        <f>M72-M69</f>
        <v>2802.6428000000001</v>
      </c>
    </row>
    <row r="75" spans="2:13" x14ac:dyDescent="0.15">
      <c r="B75" s="1" t="s">
        <v>92</v>
      </c>
      <c r="M75" s="49">
        <f>M71/M65</f>
        <v>0.83999873939743164</v>
      </c>
    </row>
  </sheetData>
  <hyperlinks>
    <hyperlink ref="M1" r:id="rId1" xr:uid="{5301AE79-155C-3744-B394-4365D45C327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2022-06-20T12:49:59Z</dcterms:created>
  <dcterms:modified xsi:type="dcterms:W3CDTF">2023-02-10T22:37:35Z</dcterms:modified>
</cp:coreProperties>
</file>