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FE3047E9-02F2-4EE1-96A2-4B5369C2B1B7}" xr6:coauthVersionLast="36" xr6:coauthVersionMax="47" xr10:uidLastSave="{00000000-0000-0000-0000-000000000000}"/>
  <bookViews>
    <workbookView xWindow="0" yWindow="0" windowWidth="21750" windowHeight="7980" xr2:uid="{4835F308-E20A-4B7A-9F17-94D4123EA96B}"/>
  </bookViews>
  <sheets>
    <sheet name="Main" sheetId="1" r:id="rId1"/>
    <sheet name="Financial Model" sheetId="2" r:id="rId2"/>
    <sheet name="Historical Projections" sheetId="4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7" i="1" l="1"/>
  <c r="C36" i="1"/>
  <c r="C35" i="1"/>
  <c r="C34" i="1"/>
  <c r="C33" i="1"/>
  <c r="C10" i="1"/>
  <c r="C9" i="1"/>
  <c r="C7" i="1"/>
  <c r="P76" i="2"/>
  <c r="P73" i="2"/>
  <c r="P74" i="2" s="1"/>
  <c r="P69" i="2"/>
  <c r="P70" i="2" s="1"/>
  <c r="P68" i="2"/>
  <c r="P65" i="2"/>
  <c r="P66" i="2" s="1"/>
  <c r="Z60" i="2"/>
  <c r="Y60" i="2"/>
  <c r="X60" i="2"/>
  <c r="H60" i="2"/>
  <c r="L60" i="2"/>
  <c r="N60" i="2"/>
  <c r="P60" i="2"/>
  <c r="P63" i="2"/>
  <c r="P54" i="2"/>
  <c r="P48" i="2"/>
  <c r="P43" i="2"/>
  <c r="P22" i="2"/>
  <c r="P21" i="2"/>
  <c r="P9" i="2"/>
  <c r="P4" i="2"/>
  <c r="P5" i="2" s="1"/>
  <c r="P8" i="2" s="1"/>
  <c r="P10" i="2" s="1"/>
  <c r="P12" i="2" s="1"/>
  <c r="P13" i="2" s="1"/>
  <c r="P16" i="2" l="1"/>
  <c r="P17" i="2"/>
  <c r="P19" i="2"/>
  <c r="P18" i="2"/>
  <c r="W73" i="2"/>
  <c r="W77" i="2" s="1"/>
  <c r="V73" i="2"/>
  <c r="V77" i="2" s="1"/>
  <c r="U73" i="2"/>
  <c r="U77" i="2" s="1"/>
  <c r="T73" i="2"/>
  <c r="T77" i="2" s="1"/>
  <c r="S73" i="2"/>
  <c r="S77" i="2" s="1"/>
  <c r="L7" i="1"/>
  <c r="AA14" i="2"/>
  <c r="AA6" i="2"/>
  <c r="AA3" i="2"/>
  <c r="AA4" i="2" s="1"/>
  <c r="AA5" i="2" s="1"/>
  <c r="O28" i="2"/>
  <c r="O27" i="2"/>
  <c r="O26" i="2"/>
  <c r="Z73" i="2"/>
  <c r="Z77" i="2" s="1"/>
  <c r="Z69" i="2"/>
  <c r="Z68" i="2"/>
  <c r="Z54" i="2"/>
  <c r="Z63" i="2" s="1"/>
  <c r="Z43" i="2"/>
  <c r="Z48" i="2" s="1"/>
  <c r="Z65" i="2" s="1"/>
  <c r="Z66" i="2" s="1"/>
  <c r="Z33" i="2"/>
  <c r="C26" i="1" s="1"/>
  <c r="Z25" i="2"/>
  <c r="Z29" i="2" s="1"/>
  <c r="O11" i="2"/>
  <c r="O7" i="2"/>
  <c r="O6" i="2"/>
  <c r="O14" i="2"/>
  <c r="O3" i="2"/>
  <c r="O22" i="2" s="1"/>
  <c r="O2" i="2"/>
  <c r="Z21" i="2"/>
  <c r="Z9" i="2"/>
  <c r="O9" i="2" s="1"/>
  <c r="Z4" i="2"/>
  <c r="O4" i="2" s="1"/>
  <c r="O5" i="2" s="1"/>
  <c r="O16" i="2" s="1"/>
  <c r="Z5" i="2"/>
  <c r="Z16" i="2" s="1"/>
  <c r="Z76" i="2" l="1"/>
  <c r="C25" i="1"/>
  <c r="Z70" i="2"/>
  <c r="Z74" i="2" s="1"/>
  <c r="AA16" i="2"/>
  <c r="AA7" i="2"/>
  <c r="AA8" i="2"/>
  <c r="O25" i="2"/>
  <c r="Z8" i="2"/>
  <c r="Z10" i="2" s="1"/>
  <c r="Z12" i="2"/>
  <c r="Z19" i="2"/>
  <c r="Z17" i="2"/>
  <c r="O8" i="2"/>
  <c r="AA17" i="2" l="1"/>
  <c r="Z18" i="2"/>
  <c r="Z13" i="2"/>
  <c r="Z80" i="2"/>
  <c r="Z78" i="2"/>
  <c r="O10" i="2"/>
  <c r="O17" i="2"/>
  <c r="N73" i="2"/>
  <c r="N69" i="2"/>
  <c r="N68" i="2"/>
  <c r="N54" i="2"/>
  <c r="N63" i="2" s="1"/>
  <c r="N43" i="2"/>
  <c r="N48" i="2" s="1"/>
  <c r="N5" i="2"/>
  <c r="N8" i="2" s="1"/>
  <c r="N10" i="2" s="1"/>
  <c r="N12" i="2" s="1"/>
  <c r="N18" i="2" s="1"/>
  <c r="Z79" i="2" l="1"/>
  <c r="N65" i="2"/>
  <c r="N66" i="2" s="1"/>
  <c r="N70" i="2"/>
  <c r="N74" i="2"/>
  <c r="O12" i="2"/>
  <c r="O19" i="2"/>
  <c r="N13" i="2"/>
  <c r="N76" i="2"/>
  <c r="N19" i="2"/>
  <c r="N16" i="2"/>
  <c r="N17" i="2"/>
  <c r="N21" i="2"/>
  <c r="O13" i="2" l="1"/>
  <c r="P79" i="2" s="1"/>
  <c r="O18" i="2"/>
  <c r="X33" i="2"/>
  <c r="W33" i="2"/>
  <c r="V33" i="2"/>
  <c r="U33" i="2"/>
  <c r="T33" i="2"/>
  <c r="S33" i="2"/>
  <c r="Y33" i="2"/>
  <c r="AB19" i="2" l="1"/>
  <c r="AC19" i="2" s="1"/>
  <c r="AD19" i="2" s="1"/>
  <c r="AE19" i="2" s="1"/>
  <c r="AF19" i="2" s="1"/>
  <c r="AG19" i="2" s="1"/>
  <c r="AH19" i="2" s="1"/>
  <c r="AI19" i="2" s="1"/>
  <c r="AJ19" i="2" s="1"/>
  <c r="AK19" i="2" s="1"/>
  <c r="AL19" i="2" s="1"/>
  <c r="AM19" i="2" s="1"/>
  <c r="AN19" i="2" s="1"/>
  <c r="AO19" i="2" s="1"/>
  <c r="AP19" i="2" s="1"/>
  <c r="AB14" i="2"/>
  <c r="AB6" i="2"/>
  <c r="AC6" i="2" s="1"/>
  <c r="Y25" i="2"/>
  <c r="Y29" i="2" s="1"/>
  <c r="L73" i="2"/>
  <c r="H73" i="2"/>
  <c r="X73" i="2"/>
  <c r="Y73" i="2"/>
  <c r="H69" i="2"/>
  <c r="H68" i="2"/>
  <c r="L69" i="2"/>
  <c r="L68" i="2"/>
  <c r="X69" i="2"/>
  <c r="X68" i="2"/>
  <c r="X70" i="2" s="1"/>
  <c r="Y69" i="2"/>
  <c r="Y68" i="2"/>
  <c r="X54" i="2"/>
  <c r="X63" i="2" s="1"/>
  <c r="Y54" i="2"/>
  <c r="Y63" i="2" s="1"/>
  <c r="X43" i="2"/>
  <c r="X48" i="2" s="1"/>
  <c r="Y43" i="2"/>
  <c r="Y48" i="2" s="1"/>
  <c r="M14" i="2"/>
  <c r="Y21" i="2"/>
  <c r="Y9" i="2"/>
  <c r="Y5" i="2"/>
  <c r="Y8" i="2" s="1"/>
  <c r="Y17" i="2" s="1"/>
  <c r="M11" i="2"/>
  <c r="M7" i="2"/>
  <c r="M6" i="2"/>
  <c r="M4" i="2"/>
  <c r="M3" i="2"/>
  <c r="O21" i="2" s="1"/>
  <c r="D11" i="1"/>
  <c r="D10" i="1"/>
  <c r="D9" i="1"/>
  <c r="D7" i="1"/>
  <c r="AB3" i="2" l="1"/>
  <c r="AC3" i="2" s="1"/>
  <c r="AD3" i="2" s="1"/>
  <c r="AE3" i="2" s="1"/>
  <c r="AF3" i="2" s="1"/>
  <c r="AG3" i="2" s="1"/>
  <c r="AH3" i="2" s="1"/>
  <c r="AI3" i="2" s="1"/>
  <c r="AJ3" i="2" s="1"/>
  <c r="AK3" i="2" s="1"/>
  <c r="AL3" i="2" s="1"/>
  <c r="AM3" i="2" s="1"/>
  <c r="AN3" i="2" s="1"/>
  <c r="AO3" i="2" s="1"/>
  <c r="AP3" i="2" s="1"/>
  <c r="M22" i="2"/>
  <c r="N22" i="2"/>
  <c r="AD6" i="2"/>
  <c r="AE6" i="2" s="1"/>
  <c r="AF6" i="2" s="1"/>
  <c r="H70" i="2"/>
  <c r="H74" i="2" s="1"/>
  <c r="Y70" i="2"/>
  <c r="Y74" i="2" s="1"/>
  <c r="Y78" i="2" s="1"/>
  <c r="Y10" i="2"/>
  <c r="Y65" i="2"/>
  <c r="Y66" i="2" s="1"/>
  <c r="Y76" i="2" s="1"/>
  <c r="L70" i="2"/>
  <c r="L74" i="2" s="1"/>
  <c r="X74" i="2"/>
  <c r="X77" i="2"/>
  <c r="Y77" i="2"/>
  <c r="X65" i="2"/>
  <c r="X66" i="2" s="1"/>
  <c r="X76" i="2" s="1"/>
  <c r="M5" i="2"/>
  <c r="M16" i="2" s="1"/>
  <c r="Y16" i="2"/>
  <c r="M9" i="2"/>
  <c r="T29" i="2"/>
  <c r="S29" i="2"/>
  <c r="T31" i="2"/>
  <c r="S31" i="2"/>
  <c r="T21" i="2"/>
  <c r="S9" i="2"/>
  <c r="T9" i="2"/>
  <c r="S5" i="2"/>
  <c r="S8" i="2" s="1"/>
  <c r="U21" i="2"/>
  <c r="T5" i="2"/>
  <c r="T16" i="2" s="1"/>
  <c r="AG6" i="2" l="1"/>
  <c r="X78" i="2"/>
  <c r="M8" i="2"/>
  <c r="M10" i="2" s="1"/>
  <c r="M12" i="2" s="1"/>
  <c r="Y12" i="2"/>
  <c r="Y80" i="2" s="1"/>
  <c r="Y19" i="2"/>
  <c r="S16" i="2"/>
  <c r="S17" i="2"/>
  <c r="S10" i="2"/>
  <c r="T8" i="2"/>
  <c r="AH6" i="2" l="1"/>
  <c r="AI6" i="2" s="1"/>
  <c r="M19" i="2"/>
  <c r="M17" i="2"/>
  <c r="Y13" i="2"/>
  <c r="Y79" i="2" s="1"/>
  <c r="Y18" i="2"/>
  <c r="M18" i="2"/>
  <c r="S12" i="2"/>
  <c r="S18" i="2" s="1"/>
  <c r="S19" i="2"/>
  <c r="T17" i="2"/>
  <c r="T10" i="2"/>
  <c r="AJ6" i="2" l="1"/>
  <c r="AK6" i="2"/>
  <c r="AL6" i="2" s="1"/>
  <c r="S13" i="2"/>
  <c r="S79" i="2" s="1"/>
  <c r="T12" i="2"/>
  <c r="T13" i="2" s="1"/>
  <c r="T79" i="2" s="1"/>
  <c r="T19" i="2"/>
  <c r="AM6" i="2" l="1"/>
  <c r="AN6" i="2" s="1"/>
  <c r="T18" i="2"/>
  <c r="AO6" i="2" l="1"/>
  <c r="AP6" i="2" s="1"/>
  <c r="G14" i="2"/>
  <c r="I14" i="2"/>
  <c r="K14" i="2"/>
  <c r="M13" i="2"/>
  <c r="H21" i="2"/>
  <c r="J21" i="2"/>
  <c r="L21" i="2"/>
  <c r="V21" i="2"/>
  <c r="W21" i="2"/>
  <c r="X21" i="2"/>
  <c r="AS21" i="2"/>
  <c r="V25" i="2"/>
  <c r="V29" i="2" s="1"/>
  <c r="X25" i="2"/>
  <c r="X29" i="2" s="1"/>
  <c r="AC14" i="2" l="1"/>
  <c r="AD14" i="2" s="1"/>
  <c r="AE14" i="2" s="1"/>
  <c r="AF14" i="2" s="1"/>
  <c r="AG14" i="2" s="1"/>
  <c r="AH14" i="2" s="1"/>
  <c r="AI14" i="2" s="1"/>
  <c r="AJ14" i="2" s="1"/>
  <c r="AK14" i="2" s="1"/>
  <c r="AL14" i="2" s="1"/>
  <c r="AM14" i="2" s="1"/>
  <c r="AN14" i="2" s="1"/>
  <c r="AO14" i="2" s="1"/>
  <c r="AP14" i="2" s="1"/>
  <c r="H54" i="2"/>
  <c r="H63" i="2" s="1"/>
  <c r="H43" i="2"/>
  <c r="H48" i="2" s="1"/>
  <c r="G11" i="2"/>
  <c r="G7" i="2"/>
  <c r="G6" i="2"/>
  <c r="G4" i="2"/>
  <c r="G3" i="2"/>
  <c r="I11" i="2"/>
  <c r="I7" i="2"/>
  <c r="I6" i="2"/>
  <c r="I4" i="2"/>
  <c r="I3" i="2"/>
  <c r="F9" i="2"/>
  <c r="F5" i="2"/>
  <c r="H9" i="2"/>
  <c r="H5" i="2"/>
  <c r="U9" i="2"/>
  <c r="U5" i="2"/>
  <c r="V9" i="2"/>
  <c r="V5" i="2"/>
  <c r="V16" i="2" s="1"/>
  <c r="K11" i="2"/>
  <c r="K9" i="2"/>
  <c r="K7" i="2"/>
  <c r="K6" i="2"/>
  <c r="K4" i="2"/>
  <c r="K3" i="2"/>
  <c r="W9" i="2"/>
  <c r="W5" i="2"/>
  <c r="W16" i="2" s="1"/>
  <c r="X5" i="2"/>
  <c r="L54" i="2"/>
  <c r="L63" i="2" s="1"/>
  <c r="L43" i="2"/>
  <c r="L48" i="2" s="1"/>
  <c r="L65" i="2" s="1"/>
  <c r="L66" i="2" s="1"/>
  <c r="J5" i="2"/>
  <c r="J16" i="2" s="1"/>
  <c r="L5" i="2"/>
  <c r="L16" i="2" s="1"/>
  <c r="AA9" i="2" l="1"/>
  <c r="AA10" i="2" s="1"/>
  <c r="AA12" i="2" s="1"/>
  <c r="AA11" i="2" s="1"/>
  <c r="H65" i="2"/>
  <c r="H66" i="2" s="1"/>
  <c r="H76" i="2" s="1"/>
  <c r="M21" i="2"/>
  <c r="I9" i="2"/>
  <c r="L76" i="2"/>
  <c r="K5" i="2"/>
  <c r="K16" i="2" s="1"/>
  <c r="I5" i="2"/>
  <c r="I16" i="2" s="1"/>
  <c r="G9" i="2"/>
  <c r="H8" i="2"/>
  <c r="H16" i="2"/>
  <c r="X8" i="2"/>
  <c r="X17" i="2" s="1"/>
  <c r="X16" i="2"/>
  <c r="U8" i="2"/>
  <c r="U17" i="2" s="1"/>
  <c r="U16" i="2"/>
  <c r="G22" i="2"/>
  <c r="H22" i="2"/>
  <c r="K22" i="2"/>
  <c r="L22" i="2"/>
  <c r="K21" i="2"/>
  <c r="F8" i="2"/>
  <c r="F17" i="2" s="1"/>
  <c r="F16" i="2"/>
  <c r="I22" i="2"/>
  <c r="J22" i="2"/>
  <c r="I21" i="2"/>
  <c r="G5" i="2"/>
  <c r="G16" i="2" s="1"/>
  <c r="L8" i="2"/>
  <c r="L17" i="2" s="1"/>
  <c r="W8" i="2"/>
  <c r="W17" i="2" s="1"/>
  <c r="J8" i="2"/>
  <c r="J17" i="2" s="1"/>
  <c r="V8" i="2"/>
  <c r="V17" i="2" s="1"/>
  <c r="AA18" i="2" l="1"/>
  <c r="AA13" i="2"/>
  <c r="I8" i="2"/>
  <c r="I10" i="2" s="1"/>
  <c r="K8" i="2"/>
  <c r="K17" i="2" s="1"/>
  <c r="F10" i="2"/>
  <c r="H10" i="2"/>
  <c r="H17" i="2"/>
  <c r="X10" i="2"/>
  <c r="U10" i="2"/>
  <c r="J10" i="2"/>
  <c r="G8" i="2"/>
  <c r="G17" i="2" s="1"/>
  <c r="V10" i="2"/>
  <c r="V19" i="2" s="1"/>
  <c r="L10" i="2"/>
  <c r="W10" i="2"/>
  <c r="K10" i="2" l="1"/>
  <c r="K19" i="2" s="1"/>
  <c r="I17" i="2"/>
  <c r="AB4" i="2"/>
  <c r="AB5" i="2" s="1"/>
  <c r="AB7" i="2" s="1"/>
  <c r="F12" i="2"/>
  <c r="F18" i="2" s="1"/>
  <c r="F19" i="2"/>
  <c r="X12" i="2"/>
  <c r="X19" i="2"/>
  <c r="U12" i="2"/>
  <c r="U19" i="2"/>
  <c r="H12" i="2"/>
  <c r="H13" i="2" s="1"/>
  <c r="H19" i="2"/>
  <c r="W12" i="2"/>
  <c r="W18" i="2" s="1"/>
  <c r="W19" i="2"/>
  <c r="I12" i="2"/>
  <c r="I18" i="2" s="1"/>
  <c r="I19" i="2"/>
  <c r="L12" i="2"/>
  <c r="L18" i="2" s="1"/>
  <c r="L19" i="2"/>
  <c r="J12" i="2"/>
  <c r="J18" i="2" s="1"/>
  <c r="J19" i="2"/>
  <c r="V12" i="2"/>
  <c r="V18" i="2" s="1"/>
  <c r="G10" i="2"/>
  <c r="G19" i="2" s="1"/>
  <c r="C8" i="1"/>
  <c r="C11" i="1"/>
  <c r="K12" i="2" l="1"/>
  <c r="K18" i="2" s="1"/>
  <c r="AS18" i="2"/>
  <c r="AB16" i="2"/>
  <c r="X18" i="2"/>
  <c r="X80" i="2"/>
  <c r="F13" i="2"/>
  <c r="J13" i="2"/>
  <c r="H18" i="2"/>
  <c r="X13" i="2"/>
  <c r="AC4" i="2"/>
  <c r="AC5" i="2" s="1"/>
  <c r="AC7" i="2" s="1"/>
  <c r="U18" i="2"/>
  <c r="U13" i="2"/>
  <c r="U79" i="2" s="1"/>
  <c r="I13" i="2"/>
  <c r="W13" i="2"/>
  <c r="W79" i="2" s="1"/>
  <c r="L13" i="2"/>
  <c r="G12" i="2"/>
  <c r="G18" i="2" s="1"/>
  <c r="V13" i="2"/>
  <c r="V79" i="2" s="1"/>
  <c r="C12" i="1"/>
  <c r="K13" i="2" l="1"/>
  <c r="AC16" i="2"/>
  <c r="X79" i="2"/>
  <c r="AD4" i="2"/>
  <c r="AD5" i="2" s="1"/>
  <c r="AD7" i="2" s="1"/>
  <c r="G13" i="2"/>
  <c r="AD16" i="2" l="1"/>
  <c r="AE4" i="2"/>
  <c r="AE5" i="2" s="1"/>
  <c r="AE7" i="2" s="1"/>
  <c r="AE16" i="2" l="1"/>
  <c r="AF4" i="2"/>
  <c r="AF5" i="2" s="1"/>
  <c r="AF7" i="2" s="1"/>
  <c r="AB8" i="2"/>
  <c r="AB17" i="2" s="1"/>
  <c r="AF16" i="2" l="1"/>
  <c r="AB10" i="2"/>
  <c r="AB11" i="2" s="1"/>
  <c r="AG4" i="2"/>
  <c r="AG5" i="2" s="1"/>
  <c r="AG7" i="2" s="1"/>
  <c r="AC8" i="2"/>
  <c r="AC17" i="2" s="1"/>
  <c r="AG16" i="2" l="1"/>
  <c r="AB12" i="2"/>
  <c r="AB13" i="2" s="1"/>
  <c r="AH4" i="2"/>
  <c r="AH5" i="2" s="1"/>
  <c r="AH7" i="2" s="1"/>
  <c r="AD8" i="2"/>
  <c r="AD17" i="2" s="1"/>
  <c r="AC10" i="2"/>
  <c r="AC11" i="2" s="1"/>
  <c r="AH16" i="2" l="1"/>
  <c r="AB18" i="2"/>
  <c r="AI4" i="2"/>
  <c r="AI5" i="2" s="1"/>
  <c r="AI7" i="2" s="1"/>
  <c r="AD10" i="2"/>
  <c r="AD11" i="2" s="1"/>
  <c r="AC12" i="2"/>
  <c r="AE8" i="2"/>
  <c r="AE17" i="2" s="1"/>
  <c r="AI16" i="2" l="1"/>
  <c r="AJ4" i="2"/>
  <c r="AJ5" i="2" s="1"/>
  <c r="AJ7" i="2" s="1"/>
  <c r="AC13" i="2"/>
  <c r="AC18" i="2"/>
  <c r="AE10" i="2"/>
  <c r="AE11" i="2" s="1"/>
  <c r="AF8" i="2"/>
  <c r="AF17" i="2" s="1"/>
  <c r="AD12" i="2"/>
  <c r="AJ16" i="2" l="1"/>
  <c r="AK4" i="2"/>
  <c r="AK5" i="2" s="1"/>
  <c r="AK7" i="2" s="1"/>
  <c r="AD13" i="2"/>
  <c r="AD18" i="2"/>
  <c r="AF10" i="2"/>
  <c r="AF11" i="2" s="1"/>
  <c r="AG8" i="2"/>
  <c r="AG17" i="2" s="1"/>
  <c r="AE12" i="2"/>
  <c r="AK16" i="2" l="1"/>
  <c r="AL4" i="2"/>
  <c r="AL5" i="2" s="1"/>
  <c r="AL7" i="2" s="1"/>
  <c r="AE13" i="2"/>
  <c r="AE18" i="2"/>
  <c r="AH8" i="2"/>
  <c r="AH17" i="2" s="1"/>
  <c r="AG10" i="2"/>
  <c r="AG11" i="2" s="1"/>
  <c r="AF12" i="2"/>
  <c r="AL16" i="2" l="1"/>
  <c r="AM4" i="2"/>
  <c r="AM5" i="2" s="1"/>
  <c r="AM7" i="2" s="1"/>
  <c r="AH10" i="2"/>
  <c r="AH11" i="2" s="1"/>
  <c r="AF13" i="2"/>
  <c r="AF18" i="2"/>
  <c r="AG12" i="2"/>
  <c r="AI8" i="2"/>
  <c r="AI17" i="2" s="1"/>
  <c r="AM16" i="2" l="1"/>
  <c r="AN4" i="2"/>
  <c r="AN5" i="2" s="1"/>
  <c r="AN7" i="2" s="1"/>
  <c r="AI10" i="2"/>
  <c r="AI11" i="2" s="1"/>
  <c r="AJ8" i="2"/>
  <c r="AJ17" i="2" s="1"/>
  <c r="AG13" i="2"/>
  <c r="AG18" i="2"/>
  <c r="AH12" i="2"/>
  <c r="AN16" i="2" l="1"/>
  <c r="AO4" i="2"/>
  <c r="AO5" i="2"/>
  <c r="AO7" i="2" s="1"/>
  <c r="AJ10" i="2"/>
  <c r="AJ11" i="2" s="1"/>
  <c r="AH13" i="2"/>
  <c r="AH18" i="2"/>
  <c r="AK8" i="2"/>
  <c r="AK17" i="2" s="1"/>
  <c r="AI12" i="2"/>
  <c r="AO16" i="2" l="1"/>
  <c r="AP4" i="2"/>
  <c r="AP5" i="2" s="1"/>
  <c r="AP7" i="2" s="1"/>
  <c r="AK10" i="2"/>
  <c r="AK11" i="2" s="1"/>
  <c r="AL8" i="2"/>
  <c r="AL17" i="2" s="1"/>
  <c r="AI13" i="2"/>
  <c r="AI18" i="2"/>
  <c r="AJ12" i="2"/>
  <c r="AP16" i="2" l="1"/>
  <c r="AJ13" i="2"/>
  <c r="AJ18" i="2"/>
  <c r="AL10" i="2"/>
  <c r="AL11" i="2" s="1"/>
  <c r="AM8" i="2"/>
  <c r="AM17" i="2" s="1"/>
  <c r="AK12" i="2"/>
  <c r="AK13" i="2" l="1"/>
  <c r="AK18" i="2"/>
  <c r="AM10" i="2"/>
  <c r="AM11" i="2" s="1"/>
  <c r="AN8" i="2"/>
  <c r="AN17" i="2" s="1"/>
  <c r="AL12" i="2"/>
  <c r="AN10" i="2" l="1"/>
  <c r="AN11" i="2" s="1"/>
  <c r="AP8" i="2"/>
  <c r="AP17" i="2" s="1"/>
  <c r="AO8" i="2"/>
  <c r="AO17" i="2" s="1"/>
  <c r="AL13" i="2"/>
  <c r="AL18" i="2"/>
  <c r="AM12" i="2"/>
  <c r="AM13" i="2" l="1"/>
  <c r="AM18" i="2"/>
  <c r="AO10" i="2"/>
  <c r="AO11" i="2" s="1"/>
  <c r="AP10" i="2"/>
  <c r="AP11" i="2" s="1"/>
  <c r="AN12" i="2"/>
  <c r="AN13" i="2" l="1"/>
  <c r="AN18" i="2"/>
  <c r="AP12" i="2"/>
  <c r="AO12" i="2"/>
  <c r="AO13" i="2" l="1"/>
  <c r="AO18" i="2"/>
  <c r="AP13" i="2"/>
  <c r="AQ12" i="2"/>
  <c r="AR12" i="2" s="1"/>
  <c r="AS12" i="2" s="1"/>
  <c r="AT12" i="2" s="1"/>
  <c r="AU12" i="2" s="1"/>
  <c r="AV12" i="2" s="1"/>
  <c r="AW12" i="2" s="1"/>
  <c r="AX12" i="2" s="1"/>
  <c r="AY12" i="2" s="1"/>
  <c r="AZ12" i="2" s="1"/>
  <c r="BA12" i="2" s="1"/>
  <c r="BB12" i="2" s="1"/>
  <c r="BC12" i="2" s="1"/>
  <c r="BD12" i="2" s="1"/>
  <c r="BE12" i="2" s="1"/>
  <c r="BF12" i="2" s="1"/>
  <c r="BG12" i="2" s="1"/>
  <c r="BH12" i="2" s="1"/>
  <c r="BI12" i="2" s="1"/>
  <c r="BJ12" i="2" s="1"/>
  <c r="BK12" i="2" s="1"/>
  <c r="BL12" i="2" s="1"/>
  <c r="BM12" i="2" s="1"/>
  <c r="BN12" i="2" s="1"/>
  <c r="BO12" i="2" s="1"/>
  <c r="BP12" i="2" s="1"/>
  <c r="BQ12" i="2" s="1"/>
  <c r="BR12" i="2" s="1"/>
  <c r="BS12" i="2" s="1"/>
  <c r="BT12" i="2" s="1"/>
  <c r="BU12" i="2" s="1"/>
  <c r="BV12" i="2" s="1"/>
  <c r="BW12" i="2" s="1"/>
  <c r="BX12" i="2" s="1"/>
  <c r="BY12" i="2" s="1"/>
  <c r="BZ12" i="2" s="1"/>
  <c r="CA12" i="2" s="1"/>
  <c r="CB12" i="2" s="1"/>
  <c r="CC12" i="2" s="1"/>
  <c r="CD12" i="2" s="1"/>
  <c r="CE12" i="2" s="1"/>
  <c r="CF12" i="2" s="1"/>
  <c r="CG12" i="2" s="1"/>
  <c r="CH12" i="2" s="1"/>
  <c r="CI12" i="2" s="1"/>
  <c r="CJ12" i="2" s="1"/>
  <c r="CK12" i="2" s="1"/>
  <c r="CL12" i="2" s="1"/>
  <c r="CM12" i="2" s="1"/>
  <c r="CN12" i="2" s="1"/>
  <c r="CO12" i="2" s="1"/>
  <c r="CP12" i="2" s="1"/>
  <c r="CQ12" i="2" s="1"/>
  <c r="CR12" i="2" s="1"/>
  <c r="CS12" i="2" s="1"/>
  <c r="CT12" i="2" s="1"/>
  <c r="CU12" i="2" s="1"/>
  <c r="CV12" i="2" s="1"/>
  <c r="AS17" i="2" s="1"/>
  <c r="AS19" i="2" s="1"/>
  <c r="AS20" i="2" s="1"/>
  <c r="AS23" i="2" s="1"/>
  <c r="AP18" i="2"/>
  <c r="AS22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me</author>
  </authors>
  <commentList>
    <comment ref="P4" authorId="0" shapeId="0" xr:uid="{FF6883B4-3C30-4584-980F-D498EF8038BA}">
      <text>
        <r>
          <rPr>
            <b/>
            <sz val="9"/>
            <color indexed="81"/>
            <rFont val="Tahoma"/>
            <family val="2"/>
          </rPr>
          <t>me:</t>
        </r>
        <r>
          <rPr>
            <sz val="9"/>
            <color indexed="81"/>
            <rFont val="Tahoma"/>
            <family val="2"/>
          </rPr>
          <t xml:space="preserve">
BOWL now include Centre Staff Costs in COGS</t>
        </r>
      </text>
    </comment>
    <comment ref="Z4" authorId="0" shapeId="0" xr:uid="{3A373CEE-C2EA-4293-ACE0-4FDA99EC17ED}">
      <text>
        <r>
          <rPr>
            <b/>
            <sz val="9"/>
            <color indexed="81"/>
            <rFont val="Tahoma"/>
            <family val="2"/>
          </rPr>
          <t>me:</t>
        </r>
        <r>
          <rPr>
            <sz val="9"/>
            <color indexed="81"/>
            <rFont val="Tahoma"/>
            <family val="2"/>
          </rPr>
          <t xml:space="preserve">
Now includes staffing costs</t>
        </r>
      </text>
    </comment>
    <comment ref="V26" authorId="0" shapeId="0" xr:uid="{5616BD4F-B890-4AFE-A4FB-FC8F593A5B53}">
      <text>
        <r>
          <rPr>
            <b/>
            <sz val="9"/>
            <color rgb="FF000000"/>
            <rFont val="Tahoma"/>
            <family val="2"/>
          </rPr>
          <t xml:space="preserve">7 in pipeline
</t>
        </r>
        <r>
          <rPr>
            <b/>
            <sz val="9"/>
            <color rgb="FF000000"/>
            <rFont val="Tahoma"/>
            <family val="2"/>
          </rPr>
          <t xml:space="preserve">- 1 (2020) 
</t>
        </r>
        <r>
          <rPr>
            <b/>
            <sz val="9"/>
            <color rgb="FF000000"/>
            <rFont val="Tahoma"/>
            <family val="2"/>
          </rPr>
          <t xml:space="preserve">- 2 (2021)
</t>
        </r>
        <r>
          <rPr>
            <b/>
            <sz val="9"/>
            <color rgb="FF000000"/>
            <rFont val="Tahoma"/>
            <family val="2"/>
          </rPr>
          <t xml:space="preserve">- 2 (2022)
</t>
        </r>
        <r>
          <rPr>
            <b/>
            <sz val="9"/>
            <color rgb="FF000000"/>
            <rFont val="Tahoma"/>
            <family val="2"/>
          </rPr>
          <t>- 2 (2023)</t>
        </r>
      </text>
    </comment>
    <comment ref="V28" authorId="0" shapeId="0" xr:uid="{AE676B7E-3B85-4E78-BE19-CF820BAD4676}">
      <text>
        <r>
          <rPr>
            <b/>
            <sz val="9"/>
            <color indexed="81"/>
            <rFont val="Tahoma"/>
            <family val="2"/>
          </rPr>
          <t>3 in pipeline</t>
        </r>
      </text>
    </comment>
  </commentList>
</comments>
</file>

<file path=xl/sharedStrings.xml><?xml version="1.0" encoding="utf-8"?>
<sst xmlns="http://schemas.openxmlformats.org/spreadsheetml/2006/main" count="228" uniqueCount="159">
  <si>
    <t>£BOWL</t>
  </si>
  <si>
    <t>Hollywood Bowl Group Plc</t>
  </si>
  <si>
    <t>Stock Snapshot</t>
  </si>
  <si>
    <t>Price</t>
  </si>
  <si>
    <t>Shares</t>
  </si>
  <si>
    <t>MC</t>
  </si>
  <si>
    <t>Cash</t>
  </si>
  <si>
    <t>Debt</t>
  </si>
  <si>
    <t>Net Cash</t>
  </si>
  <si>
    <t>EV</t>
  </si>
  <si>
    <t>Management</t>
  </si>
  <si>
    <t>CEO</t>
  </si>
  <si>
    <t>Revenue</t>
  </si>
  <si>
    <t>H119</t>
  </si>
  <si>
    <t>H120</t>
  </si>
  <si>
    <t>H220</t>
  </si>
  <si>
    <t>H121</t>
  </si>
  <si>
    <t>H221</t>
  </si>
  <si>
    <t>H122</t>
  </si>
  <si>
    <t>H222</t>
  </si>
  <si>
    <t>FY19</t>
  </si>
  <si>
    <t>FY20</t>
  </si>
  <si>
    <t>FY21</t>
  </si>
  <si>
    <t>FY22</t>
  </si>
  <si>
    <t>FY23</t>
  </si>
  <si>
    <t>FY18</t>
  </si>
  <si>
    <t>Profile</t>
  </si>
  <si>
    <t>HQ</t>
  </si>
  <si>
    <t>Founded</t>
  </si>
  <si>
    <t>Hemel, UK</t>
  </si>
  <si>
    <t>IR</t>
  </si>
  <si>
    <t>Link</t>
  </si>
  <si>
    <t>Sites</t>
  </si>
  <si>
    <t>COGS</t>
  </si>
  <si>
    <t>Gross Profit</t>
  </si>
  <si>
    <t>Other Income</t>
  </si>
  <si>
    <t>Administrative Expenses</t>
  </si>
  <si>
    <t>Operating Income</t>
  </si>
  <si>
    <t>Finance Expenses</t>
  </si>
  <si>
    <t>Pretax Income</t>
  </si>
  <si>
    <t>Taxes</t>
  </si>
  <si>
    <t>Net Income</t>
  </si>
  <si>
    <t>EPS</t>
  </si>
  <si>
    <t>Gross Margin</t>
  </si>
  <si>
    <t>Operating Margin</t>
  </si>
  <si>
    <t>Net Margin</t>
  </si>
  <si>
    <t>Revenue Y/Y</t>
  </si>
  <si>
    <t>Revenue H/H</t>
  </si>
  <si>
    <t>Balance Sheet</t>
  </si>
  <si>
    <t>PP&amp;E</t>
  </si>
  <si>
    <t>ROU Assets</t>
  </si>
  <si>
    <t>Goodwill + Intangibles</t>
  </si>
  <si>
    <t>Deferred Taxes</t>
  </si>
  <si>
    <t>Total NCA</t>
  </si>
  <si>
    <t>Trade &amp; A/R</t>
  </si>
  <si>
    <t>Taxes Receivable</t>
  </si>
  <si>
    <t>Inventories</t>
  </si>
  <si>
    <t>Assets</t>
  </si>
  <si>
    <t>Trade &amp; A/P</t>
  </si>
  <si>
    <t>Lease Liabilities</t>
  </si>
  <si>
    <t>Loans &amp; Borrowings</t>
  </si>
  <si>
    <t>Current Liabilities</t>
  </si>
  <si>
    <t>Other Payables</t>
  </si>
  <si>
    <t>Provisions</t>
  </si>
  <si>
    <t>Liabilities</t>
  </si>
  <si>
    <t>S/E</t>
  </si>
  <si>
    <t>S/E+L</t>
  </si>
  <si>
    <t>(Projected)</t>
  </si>
  <si>
    <t>Key Events</t>
  </si>
  <si>
    <t>FY17</t>
  </si>
  <si>
    <t>FY16</t>
  </si>
  <si>
    <t>-</t>
  </si>
  <si>
    <t>FY24</t>
  </si>
  <si>
    <t>FY25</t>
  </si>
  <si>
    <t>FY26</t>
  </si>
  <si>
    <t>FY27</t>
  </si>
  <si>
    <t>FY28</t>
  </si>
  <si>
    <t>FY29</t>
  </si>
  <si>
    <t>FY30</t>
  </si>
  <si>
    <t>FY31</t>
  </si>
  <si>
    <t>FY32</t>
  </si>
  <si>
    <t>FY33</t>
  </si>
  <si>
    <t>FY34</t>
  </si>
  <si>
    <t>FY35</t>
  </si>
  <si>
    <t>FY36</t>
  </si>
  <si>
    <t>FY37</t>
  </si>
  <si>
    <t>FY38</t>
  </si>
  <si>
    <t>Maturity Value</t>
  </si>
  <si>
    <t>Discount Rate</t>
  </si>
  <si>
    <t>NPV</t>
  </si>
  <si>
    <t>Total Value</t>
  </si>
  <si>
    <t>Per Share</t>
  </si>
  <si>
    <t>Current Share Price</t>
  </si>
  <si>
    <t>Projected Upside</t>
  </si>
  <si>
    <t>Steve Burns</t>
  </si>
  <si>
    <t>CFO</t>
  </si>
  <si>
    <t>Laurence Keen</t>
  </si>
  <si>
    <t>Hollywood Bowl</t>
  </si>
  <si>
    <t>AMF Bowling</t>
  </si>
  <si>
    <t>Puttstars</t>
  </si>
  <si>
    <t>Ten Entertainment Group</t>
  </si>
  <si>
    <t>Competitors</t>
  </si>
  <si>
    <t>No Sites</t>
  </si>
  <si>
    <t>Company</t>
  </si>
  <si>
    <t>QLP</t>
  </si>
  <si>
    <t>Disco Bowl</t>
  </si>
  <si>
    <t>Namco</t>
  </si>
  <si>
    <t>MFA</t>
  </si>
  <si>
    <t>Others</t>
  </si>
  <si>
    <t xml:space="preserve"> </t>
  </si>
  <si>
    <t>No. Sites</t>
  </si>
  <si>
    <t>H218</t>
  </si>
  <si>
    <t>H219</t>
  </si>
  <si>
    <t>H118</t>
  </si>
  <si>
    <t>Emply.</t>
  </si>
  <si>
    <t>Games Played</t>
  </si>
  <si>
    <t>Rev per Game Played</t>
  </si>
  <si>
    <t>Rev Per Site</t>
  </si>
  <si>
    <t>IPO</t>
  </si>
  <si>
    <t>Adverse Economic Conditions</t>
  </si>
  <si>
    <t>Decline in discretionary leisure activity could impact sales</t>
  </si>
  <si>
    <t>IT Outages/Glitches/Issues</t>
  </si>
  <si>
    <t>Customers may not be able to book through website</t>
  </si>
  <si>
    <t>Lowest price-per-game of any branded operators</t>
  </si>
  <si>
    <t>Majority of centre-locations based in high footfall areas</t>
  </si>
  <si>
    <t>Highlighted Risks</t>
  </si>
  <si>
    <t>Mitigations to Highlighted Risks</t>
  </si>
  <si>
    <t>All core systems are backed up (disaster recovery centre)</t>
  </si>
  <si>
    <t>Also reliant on Microsoft Azure &amp; 365 for cloud/email</t>
  </si>
  <si>
    <t>https://www.trustpilot.com/review/www.hollywoodbowl.co.uk</t>
  </si>
  <si>
    <t>Scrape reviews</t>
  </si>
  <si>
    <t>Book Value</t>
  </si>
  <si>
    <t>Book Value per Share</t>
  </si>
  <si>
    <t>Ratios</t>
  </si>
  <si>
    <t>P/B</t>
  </si>
  <si>
    <t>P/S</t>
  </si>
  <si>
    <t>P/E</t>
  </si>
  <si>
    <t>Tax Rate</t>
  </si>
  <si>
    <t>£BOWL strikes deal for 36k SQFT site in Birmingham, Merry Hill</t>
  </si>
  <si>
    <t>Update</t>
  </si>
  <si>
    <t>Share Price</t>
  </si>
  <si>
    <t>EV/S</t>
  </si>
  <si>
    <t>EV/E</t>
  </si>
  <si>
    <t>ROCE</t>
  </si>
  <si>
    <t>Non-Finance Metrics</t>
  </si>
  <si>
    <t>Staff</t>
  </si>
  <si>
    <t>Directors</t>
  </si>
  <si>
    <t>Administration</t>
  </si>
  <si>
    <t>Operations</t>
  </si>
  <si>
    <t>H123</t>
  </si>
  <si>
    <t>38% of UK estate fitted with Solar Panels to subsidise energy usage</t>
  </si>
  <si>
    <t>The UK &amp; Canada's largest ten-pin bowling operator</t>
  </si>
  <si>
    <t>o</t>
  </si>
  <si>
    <t>Hollywood Bowl acquire Lincoln Bowl in the UK</t>
  </si>
  <si>
    <t>H223</t>
  </si>
  <si>
    <t>H124</t>
  </si>
  <si>
    <t>FY39</t>
  </si>
  <si>
    <t>Market Cap</t>
  </si>
  <si>
    <t>H224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</si>
</sst>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#,##0.0"/>
    <numFmt numFmtId="165" formatCode="0.0"/>
    <numFmt numFmtId="166" formatCode="#,##0.0_);[Red]\(#,##0.0\)"/>
    <numFmt numFmtId="167" formatCode="#\x"/>
    <numFmt numFmtId="168" formatCode="0.0\x"/>
    <numFmt numFmtId="169" formatCode="0.000\x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i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sz val="10"/>
      <color theme="1" tint="0.499984740745262"/>
      <name val="Arial"/>
      <family val="2"/>
    </font>
    <font>
      <b/>
      <sz val="8"/>
      <color theme="1" tint="0.499984740745262"/>
      <name val="Arial"/>
      <family val="2"/>
    </font>
    <font>
      <sz val="8"/>
      <color theme="1" tint="0.499984740745262"/>
      <name val="Arial"/>
      <family val="2"/>
    </font>
    <font>
      <b/>
      <u/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b/>
      <i/>
      <sz val="10"/>
      <color theme="1"/>
      <name val="Arial"/>
      <family val="2"/>
    </font>
    <font>
      <i/>
      <sz val="10"/>
      <color rgb="FFFF0000"/>
      <name val="Arial"/>
      <family val="2"/>
    </font>
    <font>
      <sz val="10"/>
      <color rgb="FFFF0000"/>
      <name val="Arial"/>
      <family val="2"/>
    </font>
    <font>
      <b/>
      <sz val="10"/>
      <color rgb="FF000000"/>
      <name val="Arial"/>
      <family val="2"/>
    </font>
    <font>
      <sz val="8"/>
      <color rgb="FF808080"/>
      <name val="Arial"/>
      <family val="2"/>
    </font>
    <font>
      <sz val="10"/>
      <color rgb="FF000000"/>
      <name val="Arial"/>
      <family val="2"/>
    </font>
    <font>
      <b/>
      <i/>
      <sz val="10"/>
      <color rgb="FF000000"/>
      <name val="Arial"/>
      <family val="2"/>
    </font>
    <font>
      <i/>
      <sz val="10"/>
      <color rgb="FF000000"/>
      <name val="Arial"/>
      <family val="2"/>
    </font>
    <font>
      <b/>
      <sz val="9"/>
      <color rgb="FF000000"/>
      <name val="Tahoma"/>
      <family val="2"/>
    </font>
    <font>
      <i/>
      <sz val="8"/>
      <color theme="1" tint="0.499984740745262"/>
      <name val="Arial"/>
      <family val="2"/>
    </font>
    <font>
      <sz val="10"/>
      <color theme="9"/>
      <name val="Arial"/>
      <family val="2"/>
    </font>
    <font>
      <sz val="9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202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4" fillId="3" borderId="4" xfId="0" applyFont="1" applyFill="1" applyBorder="1"/>
    <xf numFmtId="0" fontId="4" fillId="3" borderId="6" xfId="0" applyFont="1" applyFill="1" applyBorder="1"/>
    <xf numFmtId="0" fontId="2" fillId="4" borderId="0" xfId="0" applyFont="1" applyFill="1"/>
    <xf numFmtId="0" fontId="2" fillId="4" borderId="5" xfId="0" applyFont="1" applyFill="1" applyBorder="1"/>
    <xf numFmtId="0" fontId="2" fillId="4" borderId="7" xfId="0" applyFont="1" applyFill="1" applyBorder="1"/>
    <xf numFmtId="0" fontId="2" fillId="4" borderId="8" xfId="0" applyFont="1" applyFill="1" applyBorder="1"/>
    <xf numFmtId="0" fontId="4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164" fontId="4" fillId="0" borderId="0" xfId="0" applyNumberFormat="1" applyFont="1"/>
    <xf numFmtId="0" fontId="6" fillId="0" borderId="0" xfId="0" applyFont="1" applyAlignment="1">
      <alignment horizontal="right"/>
    </xf>
    <xf numFmtId="164" fontId="2" fillId="0" borderId="0" xfId="0" applyNumberFormat="1" applyFont="1"/>
    <xf numFmtId="164" fontId="2" fillId="0" borderId="7" xfId="0" applyNumberFormat="1" applyFont="1" applyBorder="1"/>
    <xf numFmtId="0" fontId="2" fillId="4" borderId="4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9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14" fontId="11" fillId="0" borderId="0" xfId="0" applyNumberFormat="1" applyFont="1" applyAlignment="1">
      <alignment horizontal="right"/>
    </xf>
    <xf numFmtId="9" fontId="2" fillId="0" borderId="0" xfId="1" applyFont="1"/>
    <xf numFmtId="0" fontId="4" fillId="5" borderId="0" xfId="0" applyFont="1" applyFill="1" applyAlignment="1">
      <alignment horizontal="right"/>
    </xf>
    <xf numFmtId="0" fontId="2" fillId="5" borderId="0" xfId="0" applyFont="1" applyFill="1"/>
    <xf numFmtId="2" fontId="2" fillId="0" borderId="0" xfId="0" applyNumberFormat="1" applyFont="1"/>
    <xf numFmtId="165" fontId="2" fillId="0" borderId="0" xfId="0" applyNumberFormat="1" applyFont="1"/>
    <xf numFmtId="0" fontId="8" fillId="0" borderId="0" xfId="2" applyFont="1" applyAlignment="1">
      <alignment horizontal="right"/>
    </xf>
    <xf numFmtId="0" fontId="12" fillId="0" borderId="0" xfId="0" applyFont="1"/>
    <xf numFmtId="164" fontId="4" fillId="5" borderId="0" xfId="0" applyNumberFormat="1" applyFont="1" applyFill="1"/>
    <xf numFmtId="164" fontId="2" fillId="5" borderId="0" xfId="0" applyNumberFormat="1" applyFont="1" applyFill="1"/>
    <xf numFmtId="165" fontId="2" fillId="5" borderId="0" xfId="0" applyNumberFormat="1" applyFont="1" applyFill="1"/>
    <xf numFmtId="2" fontId="2" fillId="5" borderId="0" xfId="0" applyNumberFormat="1" applyFont="1" applyFill="1"/>
    <xf numFmtId="9" fontId="2" fillId="5" borderId="0" xfId="1" applyFont="1" applyFill="1"/>
    <xf numFmtId="14" fontId="11" fillId="5" borderId="0" xfId="0" applyNumberFormat="1" applyFont="1" applyFill="1" applyAlignment="1">
      <alignment horizontal="right"/>
    </xf>
    <xf numFmtId="165" fontId="4" fillId="0" borderId="0" xfId="0" applyNumberFormat="1" applyFont="1"/>
    <xf numFmtId="0" fontId="2" fillId="5" borderId="0" xfId="0" applyFont="1" applyFill="1" applyAlignment="1">
      <alignment horizontal="right"/>
    </xf>
    <xf numFmtId="0" fontId="2" fillId="0" borderId="0" xfId="0" applyFont="1" applyAlignment="1">
      <alignment horizontal="right"/>
    </xf>
    <xf numFmtId="0" fontId="2" fillId="0" borderId="5" xfId="0" applyFont="1" applyBorder="1" applyAlignment="1">
      <alignment horizontal="right"/>
    </xf>
    <xf numFmtId="0" fontId="2" fillId="0" borderId="8" xfId="0" applyFont="1" applyBorder="1" applyAlignment="1">
      <alignment horizontal="right"/>
    </xf>
    <xf numFmtId="164" fontId="4" fillId="6" borderId="0" xfId="0" applyNumberFormat="1" applyFont="1" applyFill="1"/>
    <xf numFmtId="9" fontId="2" fillId="6" borderId="0" xfId="1" applyFont="1" applyFill="1"/>
    <xf numFmtId="2" fontId="2" fillId="6" borderId="0" xfId="0" applyNumberFormat="1" applyFont="1" applyFill="1"/>
    <xf numFmtId="164" fontId="2" fillId="6" borderId="0" xfId="0" applyNumberFormat="1" applyFont="1" applyFill="1"/>
    <xf numFmtId="0" fontId="1" fillId="3" borderId="1" xfId="0" applyFont="1" applyFill="1" applyBorder="1"/>
    <xf numFmtId="0" fontId="1" fillId="3" borderId="4" xfId="0" applyFont="1" applyFill="1" applyBorder="1"/>
    <xf numFmtId="0" fontId="13" fillId="3" borderId="4" xfId="0" applyFont="1" applyFill="1" applyBorder="1"/>
    <xf numFmtId="0" fontId="1" fillId="3" borderId="6" xfId="0" applyFont="1" applyFill="1" applyBorder="1"/>
    <xf numFmtId="167" fontId="2" fillId="0" borderId="0" xfId="0" applyNumberFormat="1" applyFont="1"/>
    <xf numFmtId="0" fontId="2" fillId="4" borderId="6" xfId="0" applyFont="1" applyFill="1" applyBorder="1" applyAlignment="1">
      <alignment horizontal="center"/>
    </xf>
    <xf numFmtId="0" fontId="2" fillId="0" borderId="0" xfId="0" applyFont="1" applyAlignment="1">
      <alignment horizontal="left" indent="1"/>
    </xf>
    <xf numFmtId="1" fontId="2" fillId="0" borderId="0" xfId="1" applyNumberFormat="1" applyFont="1"/>
    <xf numFmtId="9" fontId="4" fillId="5" borderId="0" xfId="1" applyFont="1" applyFill="1"/>
    <xf numFmtId="9" fontId="4" fillId="0" borderId="0" xfId="1" applyFont="1"/>
    <xf numFmtId="1" fontId="2" fillId="0" borderId="0" xfId="0" applyNumberFormat="1" applyFont="1"/>
    <xf numFmtId="1" fontId="2" fillId="5" borderId="0" xfId="0" applyNumberFormat="1" applyFont="1" applyFill="1"/>
    <xf numFmtId="0" fontId="2" fillId="0" borderId="0" xfId="0" applyFont="1" applyAlignment="1">
      <alignment horizontal="center"/>
    </xf>
    <xf numFmtId="0" fontId="4" fillId="7" borderId="5" xfId="0" applyFont="1" applyFill="1" applyBorder="1" applyAlignment="1">
      <alignment horizontal="center"/>
    </xf>
    <xf numFmtId="0" fontId="2" fillId="7" borderId="5" xfId="0" applyFont="1" applyFill="1" applyBorder="1" applyAlignment="1">
      <alignment horizontal="center"/>
    </xf>
    <xf numFmtId="0" fontId="2" fillId="7" borderId="8" xfId="0" applyFont="1" applyFill="1" applyBorder="1" applyAlignment="1">
      <alignment horizontal="center"/>
    </xf>
    <xf numFmtId="0" fontId="4" fillId="5" borderId="0" xfId="0" applyFont="1" applyFill="1"/>
    <xf numFmtId="9" fontId="1" fillId="4" borderId="3" xfId="0" applyNumberFormat="1" applyFont="1" applyFill="1" applyBorder="1" applyAlignment="1">
      <alignment horizontal="right"/>
    </xf>
    <xf numFmtId="9" fontId="1" fillId="4" borderId="5" xfId="0" applyNumberFormat="1" applyFont="1" applyFill="1" applyBorder="1" applyAlignment="1">
      <alignment horizontal="right"/>
    </xf>
    <xf numFmtId="166" fontId="1" fillId="4" borderId="5" xfId="0" applyNumberFormat="1" applyFont="1" applyFill="1" applyBorder="1" applyAlignment="1">
      <alignment horizontal="right"/>
    </xf>
    <xf numFmtId="2" fontId="13" fillId="4" borderId="5" xfId="0" applyNumberFormat="1" applyFont="1" applyFill="1" applyBorder="1" applyAlignment="1">
      <alignment horizontal="right"/>
    </xf>
    <xf numFmtId="2" fontId="1" fillId="4" borderId="5" xfId="0" applyNumberFormat="1" applyFont="1" applyFill="1" applyBorder="1" applyAlignment="1">
      <alignment horizontal="right"/>
    </xf>
    <xf numFmtId="0" fontId="4" fillId="0" borderId="0" xfId="0" applyFont="1" applyAlignment="1">
      <alignment horizontal="left"/>
    </xf>
    <xf numFmtId="1" fontId="4" fillId="0" borderId="0" xfId="0" applyNumberFormat="1" applyFont="1"/>
    <xf numFmtId="1" fontId="4" fillId="5" borderId="0" xfId="0" applyNumberFormat="1" applyFont="1" applyFill="1"/>
    <xf numFmtId="1" fontId="4" fillId="0" borderId="0" xfId="1" applyNumberFormat="1" applyFont="1"/>
    <xf numFmtId="0" fontId="15" fillId="0" borderId="0" xfId="0" applyFont="1"/>
    <xf numFmtId="0" fontId="15" fillId="0" borderId="0" xfId="0" applyFont="1" applyAlignment="1">
      <alignment horizontal="left" indent="1"/>
    </xf>
    <xf numFmtId="1" fontId="15" fillId="0" borderId="0" xfId="0" applyNumberFormat="1" applyFont="1"/>
    <xf numFmtId="1" fontId="15" fillId="5" borderId="0" xfId="0" applyNumberFormat="1" applyFont="1" applyFill="1"/>
    <xf numFmtId="0" fontId="6" fillId="0" borderId="0" xfId="0" applyFont="1"/>
    <xf numFmtId="0" fontId="6" fillId="0" borderId="0" xfId="0" applyFont="1" applyAlignment="1">
      <alignment horizontal="left" indent="1"/>
    </xf>
    <xf numFmtId="0" fontId="6" fillId="5" borderId="0" xfId="0" applyFont="1" applyFill="1"/>
    <xf numFmtId="0" fontId="6" fillId="6" borderId="0" xfId="0" applyFont="1" applyFill="1"/>
    <xf numFmtId="2" fontId="6" fillId="0" borderId="0" xfId="0" applyNumberFormat="1" applyFont="1"/>
    <xf numFmtId="165" fontId="15" fillId="0" borderId="0" xfId="0" applyNumberFormat="1" applyFont="1"/>
    <xf numFmtId="0" fontId="4" fillId="4" borderId="4" xfId="0" applyFont="1" applyFill="1" applyBorder="1"/>
    <xf numFmtId="0" fontId="4" fillId="4" borderId="0" xfId="0" applyFont="1" applyFill="1"/>
    <xf numFmtId="0" fontId="4" fillId="4" borderId="6" xfId="0" applyFont="1" applyFill="1" applyBorder="1"/>
    <xf numFmtId="0" fontId="4" fillId="4" borderId="7" xfId="0" applyFont="1" applyFill="1" applyBorder="1"/>
    <xf numFmtId="0" fontId="2" fillId="4" borderId="4" xfId="0" applyFont="1" applyFill="1" applyBorder="1" applyAlignment="1">
      <alignment horizontal="left" indent="1"/>
    </xf>
    <xf numFmtId="0" fontId="16" fillId="4" borderId="4" xfId="0" applyFont="1" applyFill="1" applyBorder="1" applyAlignment="1">
      <alignment horizontal="left" indent="1"/>
    </xf>
    <xf numFmtId="2" fontId="4" fillId="0" borderId="0" xfId="0" applyNumberFormat="1" applyFont="1"/>
    <xf numFmtId="0" fontId="17" fillId="0" borderId="0" xfId="0" applyFont="1"/>
    <xf numFmtId="0" fontId="2" fillId="4" borderId="0" xfId="0" applyFont="1" applyFill="1" applyAlignment="1">
      <alignment horizontal="center"/>
    </xf>
    <xf numFmtId="17" fontId="4" fillId="3" borderId="4" xfId="0" applyNumberFormat="1" applyFont="1" applyFill="1" applyBorder="1" applyAlignment="1">
      <alignment horizontal="center"/>
    </xf>
    <xf numFmtId="0" fontId="8" fillId="4" borderId="0" xfId="2" applyFont="1" applyFill="1" applyBorder="1"/>
    <xf numFmtId="168" fontId="2" fillId="0" borderId="0" xfId="0" applyNumberFormat="1" applyFont="1"/>
    <xf numFmtId="168" fontId="2" fillId="5" borderId="0" xfId="0" applyNumberFormat="1" applyFont="1" applyFill="1"/>
    <xf numFmtId="169" fontId="4" fillId="0" borderId="0" xfId="0" applyNumberFormat="1" applyFont="1"/>
    <xf numFmtId="169" fontId="2" fillId="0" borderId="0" xfId="0" applyNumberFormat="1" applyFont="1"/>
    <xf numFmtId="169" fontId="2" fillId="5" borderId="0" xfId="0" applyNumberFormat="1" applyFont="1" applyFill="1"/>
    <xf numFmtId="16" fontId="2" fillId="4" borderId="5" xfId="0" applyNumberFormat="1" applyFont="1" applyFill="1" applyBorder="1" applyAlignment="1">
      <alignment horizontal="center"/>
    </xf>
    <xf numFmtId="0" fontId="18" fillId="8" borderId="0" xfId="0" applyFont="1" applyFill="1" applyAlignment="1">
      <alignment horizontal="right"/>
    </xf>
    <xf numFmtId="0" fontId="19" fillId="8" borderId="0" xfId="0" applyFont="1" applyFill="1" applyAlignment="1">
      <alignment horizontal="right"/>
    </xf>
    <xf numFmtId="165" fontId="18" fillId="8" borderId="0" xfId="0" applyNumberFormat="1" applyFont="1" applyFill="1"/>
    <xf numFmtId="165" fontId="20" fillId="8" borderId="0" xfId="0" applyNumberFormat="1" applyFont="1" applyFill="1"/>
    <xf numFmtId="164" fontId="18" fillId="8" borderId="0" xfId="0" applyNumberFormat="1" applyFont="1" applyFill="1"/>
    <xf numFmtId="164" fontId="20" fillId="8" borderId="0" xfId="0" applyNumberFormat="1" applyFont="1" applyFill="1"/>
    <xf numFmtId="2" fontId="20" fillId="8" borderId="0" xfId="0" applyNumberFormat="1" applyFont="1" applyFill="1"/>
    <xf numFmtId="0" fontId="20" fillId="8" borderId="0" xfId="0" applyFont="1" applyFill="1"/>
    <xf numFmtId="9" fontId="20" fillId="8" borderId="0" xfId="0" applyNumberFormat="1" applyFont="1" applyFill="1"/>
    <xf numFmtId="9" fontId="18" fillId="8" borderId="0" xfId="0" applyNumberFormat="1" applyFont="1" applyFill="1"/>
    <xf numFmtId="1" fontId="20" fillId="8" borderId="0" xfId="0" applyNumberFormat="1" applyFont="1" applyFill="1"/>
    <xf numFmtId="1" fontId="21" fillId="8" borderId="0" xfId="0" applyNumberFormat="1" applyFont="1" applyFill="1"/>
    <xf numFmtId="1" fontId="18" fillId="8" borderId="0" xfId="0" applyNumberFormat="1" applyFont="1" applyFill="1"/>
    <xf numFmtId="0" fontId="22" fillId="8" borderId="0" xfId="0" applyFont="1" applyFill="1"/>
    <xf numFmtId="0" fontId="18" fillId="8" borderId="0" xfId="0" applyFont="1" applyFill="1"/>
    <xf numFmtId="169" fontId="20" fillId="8" borderId="0" xfId="0" applyNumberFormat="1" applyFont="1" applyFill="1"/>
    <xf numFmtId="0" fontId="2" fillId="9" borderId="0" xfId="0" applyFont="1" applyFill="1"/>
    <xf numFmtId="0" fontId="4" fillId="9" borderId="0" xfId="0" applyFont="1" applyFill="1" applyAlignment="1">
      <alignment horizontal="right"/>
    </xf>
    <xf numFmtId="0" fontId="11" fillId="9" borderId="0" xfId="0" applyFont="1" applyFill="1" applyAlignment="1">
      <alignment horizontal="right"/>
    </xf>
    <xf numFmtId="165" fontId="4" fillId="9" borderId="0" xfId="0" applyNumberFormat="1" applyFont="1" applyFill="1"/>
    <xf numFmtId="165" fontId="2" fillId="9" borderId="0" xfId="0" applyNumberFormat="1" applyFont="1" applyFill="1"/>
    <xf numFmtId="164" fontId="4" fillId="9" borderId="0" xfId="0" applyNumberFormat="1" applyFont="1" applyFill="1"/>
    <xf numFmtId="164" fontId="2" fillId="9" borderId="0" xfId="0" applyNumberFormat="1" applyFont="1" applyFill="1"/>
    <xf numFmtId="2" fontId="2" fillId="9" borderId="0" xfId="0" applyNumberFormat="1" applyFont="1" applyFill="1"/>
    <xf numFmtId="9" fontId="2" fillId="9" borderId="0" xfId="1" applyFont="1" applyFill="1"/>
    <xf numFmtId="0" fontId="2" fillId="9" borderId="0" xfId="0" applyFont="1" applyFill="1" applyAlignment="1">
      <alignment horizontal="right"/>
    </xf>
    <xf numFmtId="1" fontId="2" fillId="9" borderId="0" xfId="0" applyNumberFormat="1" applyFont="1" applyFill="1"/>
    <xf numFmtId="1" fontId="15" fillId="9" borderId="0" xfId="0" applyNumberFormat="1" applyFont="1" applyFill="1"/>
    <xf numFmtId="1" fontId="4" fillId="9" borderId="0" xfId="0" applyNumberFormat="1" applyFont="1" applyFill="1"/>
    <xf numFmtId="0" fontId="6" fillId="9" borderId="0" xfId="0" applyFont="1" applyFill="1"/>
    <xf numFmtId="0" fontId="4" fillId="9" borderId="0" xfId="0" applyFont="1" applyFill="1"/>
    <xf numFmtId="169" fontId="2" fillId="9" borderId="0" xfId="0" applyNumberFormat="1" applyFont="1" applyFill="1"/>
    <xf numFmtId="0" fontId="15" fillId="6" borderId="0" xfId="0" applyFont="1" applyFill="1" applyAlignment="1">
      <alignment horizontal="right"/>
    </xf>
    <xf numFmtId="14" fontId="24" fillId="6" borderId="0" xfId="0" applyNumberFormat="1" applyFont="1" applyFill="1" applyAlignment="1">
      <alignment horizontal="right"/>
    </xf>
    <xf numFmtId="164" fontId="15" fillId="6" borderId="0" xfId="0" applyNumberFormat="1" applyFont="1" applyFill="1"/>
    <xf numFmtId="164" fontId="6" fillId="6" borderId="0" xfId="0" applyNumberFormat="1" applyFont="1" applyFill="1"/>
    <xf numFmtId="165" fontId="6" fillId="6" borderId="0" xfId="0" applyNumberFormat="1" applyFont="1" applyFill="1"/>
    <xf numFmtId="9" fontId="6" fillId="6" borderId="0" xfId="1" applyFont="1" applyFill="1"/>
    <xf numFmtId="0" fontId="6" fillId="6" borderId="0" xfId="0" applyFont="1" applyFill="1" applyAlignment="1">
      <alignment horizontal="right"/>
    </xf>
    <xf numFmtId="1" fontId="6" fillId="6" borderId="0" xfId="1" applyNumberFormat="1" applyFont="1" applyFill="1"/>
    <xf numFmtId="165" fontId="15" fillId="6" borderId="0" xfId="0" applyNumberFormat="1" applyFont="1" applyFill="1"/>
    <xf numFmtId="1" fontId="15" fillId="6" borderId="0" xfId="1" applyNumberFormat="1" applyFont="1" applyFill="1"/>
    <xf numFmtId="168" fontId="6" fillId="6" borderId="0" xfId="0" applyNumberFormat="1" applyFont="1" applyFill="1"/>
    <xf numFmtId="3" fontId="4" fillId="0" borderId="0" xfId="0" applyNumberFormat="1" applyFont="1"/>
    <xf numFmtId="3" fontId="4" fillId="0" borderId="0" xfId="0" applyNumberFormat="1" applyFont="1" applyAlignment="1">
      <alignment horizontal="left"/>
    </xf>
    <xf numFmtId="3" fontId="4" fillId="5" borderId="0" xfId="0" applyNumberFormat="1" applyFont="1" applyFill="1"/>
    <xf numFmtId="3" fontId="4" fillId="6" borderId="0" xfId="0" applyNumberFormat="1" applyFont="1" applyFill="1"/>
    <xf numFmtId="3" fontId="6" fillId="0" borderId="0" xfId="0" applyNumberFormat="1" applyFont="1"/>
    <xf numFmtId="3" fontId="2" fillId="0" borderId="0" xfId="0" applyNumberFormat="1" applyFont="1" applyAlignment="1">
      <alignment horizontal="left" indent="1"/>
    </xf>
    <xf numFmtId="3" fontId="6" fillId="5" borderId="0" xfId="0" applyNumberFormat="1" applyFont="1" applyFill="1"/>
    <xf numFmtId="3" fontId="6" fillId="6" borderId="0" xfId="0" applyNumberFormat="1" applyFont="1" applyFill="1"/>
    <xf numFmtId="3" fontId="2" fillId="0" borderId="0" xfId="0" applyNumberFormat="1" applyFont="1"/>
    <xf numFmtId="3" fontId="2" fillId="5" borderId="0" xfId="0" applyNumberFormat="1" applyFont="1" applyFill="1"/>
    <xf numFmtId="0" fontId="4" fillId="6" borderId="0" xfId="0" applyFont="1" applyFill="1" applyAlignment="1">
      <alignment horizontal="right"/>
    </xf>
    <xf numFmtId="0" fontId="11" fillId="6" borderId="0" xfId="0" applyFont="1" applyFill="1" applyAlignment="1">
      <alignment horizontal="right"/>
    </xf>
    <xf numFmtId="0" fontId="4" fillId="6" borderId="0" xfId="0" applyFont="1" applyFill="1"/>
    <xf numFmtId="0" fontId="2" fillId="6" borderId="0" xfId="0" applyFont="1" applyFill="1"/>
    <xf numFmtId="2" fontId="4" fillId="6" borderId="0" xfId="0" applyNumberFormat="1" applyFont="1" applyFill="1"/>
    <xf numFmtId="1" fontId="2" fillId="6" borderId="0" xfId="0" applyNumberFormat="1" applyFont="1" applyFill="1"/>
    <xf numFmtId="1" fontId="15" fillId="6" borderId="0" xfId="0" applyNumberFormat="1" applyFont="1" applyFill="1"/>
    <xf numFmtId="1" fontId="4" fillId="6" borderId="0" xfId="0" applyNumberFormat="1" applyFont="1" applyFill="1"/>
    <xf numFmtId="3" fontId="2" fillId="6" borderId="0" xfId="0" applyNumberFormat="1" applyFont="1" applyFill="1"/>
    <xf numFmtId="168" fontId="2" fillId="6" borderId="0" xfId="0" applyNumberFormat="1" applyFont="1" applyFill="1"/>
    <xf numFmtId="169" fontId="2" fillId="6" borderId="0" xfId="0" applyNumberFormat="1" applyFont="1" applyFill="1"/>
    <xf numFmtId="0" fontId="25" fillId="0" borderId="0" xfId="0" applyFont="1"/>
    <xf numFmtId="0" fontId="2" fillId="10" borderId="0" xfId="0" applyFont="1" applyFill="1"/>
    <xf numFmtId="0" fontId="8" fillId="4" borderId="0" xfId="2" applyFont="1" applyFill="1"/>
    <xf numFmtId="3" fontId="0" fillId="4" borderId="8" xfId="0" applyNumberFormat="1" applyFill="1" applyBorder="1" applyAlignment="1">
      <alignment horizontal="right"/>
    </xf>
    <xf numFmtId="9" fontId="1" fillId="4" borderId="5" xfId="1" applyFont="1" applyFill="1" applyBorder="1" applyAlignment="1">
      <alignment horizontal="right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2" fillId="4" borderId="0" xfId="0" applyFont="1" applyFill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0" fontId="4" fillId="4" borderId="0" xfId="0" applyFont="1" applyFill="1" applyAlignment="1">
      <alignment horizontal="center"/>
    </xf>
    <xf numFmtId="0" fontId="8" fillId="4" borderId="4" xfId="2" applyFont="1" applyFill="1" applyBorder="1" applyAlignment="1">
      <alignment horizontal="center"/>
    </xf>
    <xf numFmtId="0" fontId="8" fillId="4" borderId="0" xfId="2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168" fontId="2" fillId="4" borderId="7" xfId="0" applyNumberFormat="1" applyFont="1" applyFill="1" applyBorder="1" applyAlignment="1">
      <alignment horizontal="center"/>
    </xf>
    <xf numFmtId="168" fontId="2" fillId="4" borderId="8" xfId="0" applyNumberFormat="1" applyFont="1" applyFill="1" applyBorder="1" applyAlignment="1">
      <alignment horizontal="center"/>
    </xf>
    <xf numFmtId="3" fontId="2" fillId="4" borderId="0" xfId="0" applyNumberFormat="1" applyFont="1" applyFill="1" applyAlignment="1">
      <alignment horizontal="center"/>
    </xf>
    <xf numFmtId="168" fontId="2" fillId="4" borderId="0" xfId="0" applyNumberFormat="1" applyFont="1" applyFill="1" applyAlignment="1">
      <alignment horizontal="center"/>
    </xf>
    <xf numFmtId="168" fontId="2" fillId="4" borderId="5" xfId="0" applyNumberFormat="1" applyFont="1" applyFill="1" applyBorder="1" applyAlignment="1">
      <alignment horizontal="center"/>
    </xf>
    <xf numFmtId="0" fontId="8" fillId="4" borderId="7" xfId="2" applyFont="1" applyFill="1" applyBorder="1" applyAlignment="1">
      <alignment horizontal="center"/>
    </xf>
    <xf numFmtId="0" fontId="8" fillId="4" borderId="8" xfId="2" applyFont="1" applyFill="1" applyBorder="1" applyAlignment="1">
      <alignment horizontal="center"/>
    </xf>
    <xf numFmtId="0" fontId="4" fillId="0" borderId="0" xfId="0" applyFont="1" applyFill="1" applyAlignment="1">
      <alignment horizontal="right"/>
    </xf>
    <xf numFmtId="0" fontId="4" fillId="0" borderId="0" xfId="0" applyFont="1" applyFill="1"/>
    <xf numFmtId="0" fontId="2" fillId="0" borderId="0" xfId="0" applyFont="1" applyFill="1"/>
    <xf numFmtId="1" fontId="2" fillId="0" borderId="0" xfId="0" applyNumberFormat="1" applyFont="1" applyFill="1"/>
    <xf numFmtId="1" fontId="15" fillId="0" borderId="0" xfId="0" applyNumberFormat="1" applyFont="1" applyFill="1"/>
    <xf numFmtId="1" fontId="4" fillId="0" borderId="0" xfId="0" applyNumberFormat="1" applyFont="1" applyFill="1"/>
    <xf numFmtId="0" fontId="6" fillId="0" borderId="0" xfId="0" applyFont="1" applyFill="1"/>
    <xf numFmtId="3" fontId="4" fillId="0" borderId="0" xfId="0" applyNumberFormat="1" applyFont="1" applyFill="1"/>
    <xf numFmtId="3" fontId="6" fillId="0" borderId="0" xfId="0" applyNumberFormat="1" applyFont="1" applyFill="1"/>
    <xf numFmtId="3" fontId="2" fillId="0" borderId="0" xfId="0" applyNumberFormat="1" applyFont="1" applyFill="1"/>
    <xf numFmtId="168" fontId="2" fillId="0" borderId="0" xfId="0" applyNumberFormat="1" applyFont="1" applyFill="1"/>
    <xf numFmtId="169" fontId="2" fillId="0" borderId="0" xfId="0" applyNumberFormat="1" applyFont="1" applyFill="1"/>
    <xf numFmtId="14" fontId="11" fillId="0" borderId="0" xfId="0" applyNumberFormat="1" applyFont="1" applyFill="1" applyAlignment="1">
      <alignment horizontal="right"/>
    </xf>
    <xf numFmtId="164" fontId="2" fillId="0" borderId="0" xfId="0" applyNumberFormat="1" applyFont="1" applyFill="1"/>
    <xf numFmtId="164" fontId="4" fillId="0" borderId="0" xfId="0" applyNumberFormat="1" applyFont="1" applyFill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microsoft.com/office/2017/10/relationships/person" Target="persons/perso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57150</xdr:colOff>
      <xdr:row>0</xdr:row>
      <xdr:rowOff>66675</xdr:rowOff>
    </xdr:from>
    <xdr:to>
      <xdr:col>6</xdr:col>
      <xdr:colOff>142875</xdr:colOff>
      <xdr:row>4</xdr:row>
      <xdr:rowOff>85725</xdr:rowOff>
    </xdr:to>
    <xdr:pic>
      <xdr:nvPicPr>
        <xdr:cNvPr id="2" name="Picture 1" descr="https://logo.clearbit.com/hollywoodbowlgroup.com">
          <a:extLst>
            <a:ext uri="{FF2B5EF4-FFF2-40B4-BE49-F238E27FC236}">
              <a16:creationId xmlns:a16="http://schemas.microsoft.com/office/drawing/2014/main" id="{8074D5C9-EEB6-49A9-816A-14796CBBCD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05150" y="66675"/>
          <a:ext cx="695325" cy="695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6350</xdr:colOff>
      <xdr:row>0</xdr:row>
      <xdr:rowOff>19050</xdr:rowOff>
    </xdr:from>
    <xdr:to>
      <xdr:col>26</xdr:col>
      <xdr:colOff>6350</xdr:colOff>
      <xdr:row>88</xdr:row>
      <xdr:rowOff>152400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C9F68952-5843-4A5F-B718-3C224FFECA4F}"/>
            </a:ext>
          </a:extLst>
        </xdr:cNvPr>
        <xdr:cNvCxnSpPr/>
      </xdr:nvCxnSpPr>
      <xdr:spPr>
        <a:xfrm>
          <a:off x="16681450" y="19050"/>
          <a:ext cx="0" cy="1362075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19050</xdr:colOff>
      <xdr:row>0</xdr:row>
      <xdr:rowOff>9525</xdr:rowOff>
    </xdr:from>
    <xdr:to>
      <xdr:col>16</xdr:col>
      <xdr:colOff>19050</xdr:colOff>
      <xdr:row>89</xdr:row>
      <xdr:rowOff>76200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F56DD5A9-6A61-4A9C-B323-E4AC71E1110C}"/>
            </a:ext>
          </a:extLst>
        </xdr:cNvPr>
        <xdr:cNvCxnSpPr/>
      </xdr:nvCxnSpPr>
      <xdr:spPr>
        <a:xfrm>
          <a:off x="10306050" y="9525"/>
          <a:ext cx="0" cy="1447800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TE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25">
          <cell r="C25">
            <v>51</v>
          </cell>
        </row>
      </sheetData>
      <sheetData sheetId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ntergameonline.com/coin-op/news/hollywood-bowl-strikes-deal-for-new-site" TargetMode="External"/><Relationship Id="rId2" Type="http://schemas.openxmlformats.org/officeDocument/2006/relationships/hyperlink" Target="&#163;TEG.xlsx" TargetMode="External"/><Relationship Id="rId1" Type="http://schemas.openxmlformats.org/officeDocument/2006/relationships/hyperlink" Target="https://www.hollywoodbowlgroup.com/investors/results-reports-and-presentations/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insidermedia.com/news/midlands/hollywood-bowl-acquires-lincoln-site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hollywoodbowlgroup.com/application/files/5517/0288/6885/FULL_RNS_-_17-12-23_for_LSE_load.pdf" TargetMode="External"/><Relationship Id="rId3" Type="http://schemas.openxmlformats.org/officeDocument/2006/relationships/hyperlink" Target="https://www.hollywoodbowlgroup.com/application/files/6016/4302/6048/annual-report-2019.pdf" TargetMode="External"/><Relationship Id="rId7" Type="http://schemas.openxmlformats.org/officeDocument/2006/relationships/hyperlink" Target="https://www.hollywoodbowlgroup.com/application/files/7816/8191/1040/Hollywood_Bowl_half_year_trading_update_FINAL.pdf" TargetMode="External"/><Relationship Id="rId12" Type="http://schemas.openxmlformats.org/officeDocument/2006/relationships/comments" Target="../comments1.xml"/><Relationship Id="rId2" Type="http://schemas.openxmlformats.org/officeDocument/2006/relationships/hyperlink" Target="https://www.hollywoodbowlgroup.com/application/files/5116/4267/7084/Hollywood_Bowl_Group_plc_Annual_Report_and_Accounts_2021.pdf" TargetMode="External"/><Relationship Id="rId1" Type="http://schemas.openxmlformats.org/officeDocument/2006/relationships/hyperlink" Target="https://www.hollywoodbowlgroup.com/application/files/8016/5347/0672/Combined_RNS_V2_with_fin_statements_H1_FY2022_FINAL.pdf" TargetMode="External"/><Relationship Id="rId6" Type="http://schemas.openxmlformats.org/officeDocument/2006/relationships/hyperlink" Target="http://hollywoodbowlgroup.com/application/files/7616/7118/4754/Hollywood_Bowl_Group_plc_Final_Results_Year_Ending_30_September_2022_Statement.pdf" TargetMode="External"/><Relationship Id="rId11" Type="http://schemas.openxmlformats.org/officeDocument/2006/relationships/vmlDrawing" Target="../drawings/vmlDrawing1.vml"/><Relationship Id="rId5" Type="http://schemas.openxmlformats.org/officeDocument/2006/relationships/hyperlink" Target="https://www.hollywoodbowlgroup.com/application/files/5416/4302/8194/Full_Year_Announcement_RNS_FINAL.pdf" TargetMode="External"/><Relationship Id="rId10" Type="http://schemas.openxmlformats.org/officeDocument/2006/relationships/drawing" Target="../drawings/drawing2.xml"/><Relationship Id="rId4" Type="http://schemas.openxmlformats.org/officeDocument/2006/relationships/hyperlink" Target="https://www.hollywoodbowlgroup.com/application/files/8616/4303/1596/HWB_-_6m_results_March_20_RNS.pdf" TargetMode="External"/><Relationship Id="rId9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hollywoodbowlgroup.com/application/files/7616/7118/4754/Hollywood_Bowl_Group_plc_Final_Results_Year_Ending_30_September_2022_Statement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6BE4A-2205-4DA7-9D70-0F9D2DEA55C5}">
  <dimension ref="B2:U38"/>
  <sheetViews>
    <sheetView tabSelected="1" workbookViewId="0">
      <selection activeCell="C26" sqref="C26:D26"/>
    </sheetView>
  </sheetViews>
  <sheetFormatPr defaultColWidth="9.140625" defaultRowHeight="12.75" x14ac:dyDescent="0.2"/>
  <cols>
    <col min="1" max="16384" width="9.140625" style="1"/>
  </cols>
  <sheetData>
    <row r="2" spans="2:21" ht="15" x14ac:dyDescent="0.25">
      <c r="B2" s="2" t="s">
        <v>0</v>
      </c>
      <c r="F2"/>
      <c r="H2" s="163" t="s">
        <v>151</v>
      </c>
      <c r="I2" s="163"/>
      <c r="J2" s="163"/>
      <c r="K2" s="163"/>
      <c r="L2" s="163"/>
    </row>
    <row r="3" spans="2:21" x14ac:dyDescent="0.2">
      <c r="B3" s="3" t="s">
        <v>1</v>
      </c>
    </row>
    <row r="5" spans="2:21" x14ac:dyDescent="0.2">
      <c r="B5" s="167" t="s">
        <v>2</v>
      </c>
      <c r="C5" s="168"/>
      <c r="D5" s="169"/>
      <c r="H5" s="167" t="s">
        <v>101</v>
      </c>
      <c r="I5" s="168"/>
      <c r="J5" s="168"/>
      <c r="K5" s="168"/>
      <c r="L5" s="169"/>
      <c r="O5" s="167" t="s">
        <v>68</v>
      </c>
      <c r="P5" s="168"/>
      <c r="Q5" s="168"/>
      <c r="R5" s="168"/>
      <c r="S5" s="168"/>
      <c r="T5" s="168"/>
      <c r="U5" s="169"/>
    </row>
    <row r="6" spans="2:21" x14ac:dyDescent="0.2">
      <c r="B6" s="4" t="s">
        <v>3</v>
      </c>
      <c r="C6" s="26">
        <v>3.2050000000000001</v>
      </c>
      <c r="D6" s="39"/>
      <c r="H6" s="174" t="s">
        <v>103</v>
      </c>
      <c r="I6" s="175"/>
      <c r="J6" s="175"/>
      <c r="K6" s="175"/>
      <c r="L6" s="58" t="s">
        <v>102</v>
      </c>
      <c r="O6" s="17"/>
      <c r="P6" s="6"/>
      <c r="R6" s="6"/>
      <c r="S6" s="6"/>
      <c r="T6" s="6"/>
      <c r="U6" s="7"/>
    </row>
    <row r="7" spans="2:21" x14ac:dyDescent="0.2">
      <c r="B7" s="4" t="s">
        <v>4</v>
      </c>
      <c r="C7" s="14">
        <f>+'Financial Model'!P14</f>
        <v>172.98253099999999</v>
      </c>
      <c r="D7" s="39" t="str">
        <f>$C$28</f>
        <v>H124</v>
      </c>
      <c r="H7" s="176" t="s">
        <v>100</v>
      </c>
      <c r="I7" s="177"/>
      <c r="J7" s="177"/>
      <c r="K7" s="177"/>
      <c r="L7" s="59">
        <f>[1]Main!$C$25</f>
        <v>51</v>
      </c>
      <c r="O7" s="17"/>
      <c r="P7" s="6"/>
      <c r="Q7" s="6"/>
      <c r="R7" s="6"/>
      <c r="S7" s="6"/>
      <c r="T7" s="6"/>
      <c r="U7" s="7"/>
    </row>
    <row r="8" spans="2:21" x14ac:dyDescent="0.2">
      <c r="B8" s="4" t="s">
        <v>5</v>
      </c>
      <c r="C8" s="14">
        <f>C6*C7</f>
        <v>554.40901185500002</v>
      </c>
      <c r="D8" s="39"/>
      <c r="H8" s="178" t="s">
        <v>104</v>
      </c>
      <c r="I8" s="172"/>
      <c r="J8" s="172"/>
      <c r="K8" s="172"/>
      <c r="L8" s="59">
        <v>11</v>
      </c>
      <c r="O8" s="90">
        <v>45200</v>
      </c>
      <c r="P8" s="164" t="s">
        <v>153</v>
      </c>
      <c r="Q8" s="6"/>
      <c r="R8" s="6"/>
      <c r="S8" s="6"/>
      <c r="T8" s="6"/>
      <c r="U8" s="7"/>
    </row>
    <row r="9" spans="2:21" x14ac:dyDescent="0.2">
      <c r="B9" s="4" t="s">
        <v>6</v>
      </c>
      <c r="C9" s="14">
        <f>+'Financial Model'!P68</f>
        <v>41.404000000000003</v>
      </c>
      <c r="D9" s="39" t="str">
        <f t="shared" ref="D9:D11" si="0">$C$28</f>
        <v>H124</v>
      </c>
      <c r="H9" s="178" t="s">
        <v>105</v>
      </c>
      <c r="I9" s="172"/>
      <c r="J9" s="172"/>
      <c r="K9" s="172"/>
      <c r="L9" s="59">
        <v>6</v>
      </c>
      <c r="O9" s="17"/>
      <c r="P9" s="6"/>
      <c r="Q9" s="6"/>
      <c r="R9" s="6"/>
      <c r="S9" s="6"/>
      <c r="T9" s="6"/>
      <c r="U9" s="7"/>
    </row>
    <row r="10" spans="2:21" x14ac:dyDescent="0.2">
      <c r="B10" s="4" t="s">
        <v>7</v>
      </c>
      <c r="C10" s="14">
        <f>+'Financial Model'!P69</f>
        <v>0</v>
      </c>
      <c r="D10" s="39" t="str">
        <f t="shared" si="0"/>
        <v>H124</v>
      </c>
      <c r="H10" s="178" t="s">
        <v>106</v>
      </c>
      <c r="I10" s="172"/>
      <c r="J10" s="172"/>
      <c r="K10" s="172"/>
      <c r="L10" s="59">
        <v>7</v>
      </c>
      <c r="O10" s="90">
        <v>44866</v>
      </c>
      <c r="P10" s="91" t="s">
        <v>138</v>
      </c>
      <c r="Q10" s="6"/>
      <c r="R10" s="6"/>
      <c r="S10" s="6"/>
      <c r="T10" s="6"/>
      <c r="U10" s="7"/>
    </row>
    <row r="11" spans="2:21" x14ac:dyDescent="0.2">
      <c r="B11" s="4" t="s">
        <v>8</v>
      </c>
      <c r="C11" s="14">
        <f>C9-C10</f>
        <v>41.404000000000003</v>
      </c>
      <c r="D11" s="39" t="str">
        <f t="shared" si="0"/>
        <v>H124</v>
      </c>
      <c r="H11" s="178" t="s">
        <v>107</v>
      </c>
      <c r="I11" s="172"/>
      <c r="J11" s="172"/>
      <c r="K11" s="172"/>
      <c r="L11" s="59">
        <v>6</v>
      </c>
      <c r="O11" s="17"/>
      <c r="P11" s="6"/>
      <c r="Q11" s="6"/>
      <c r="R11" s="6"/>
      <c r="S11" s="6"/>
      <c r="T11" s="6"/>
      <c r="U11" s="7"/>
    </row>
    <row r="12" spans="2:21" x14ac:dyDescent="0.2">
      <c r="B12" s="5" t="s">
        <v>9</v>
      </c>
      <c r="C12" s="15">
        <f>C8-C11</f>
        <v>513.00501185500002</v>
      </c>
      <c r="D12" s="40"/>
      <c r="H12" s="179" t="s">
        <v>108</v>
      </c>
      <c r="I12" s="170"/>
      <c r="J12" s="170"/>
      <c r="K12" s="170"/>
      <c r="L12" s="60">
        <v>174</v>
      </c>
      <c r="O12" s="17"/>
      <c r="P12" s="6"/>
      <c r="Q12" s="6"/>
      <c r="R12" s="6"/>
      <c r="S12" s="6"/>
      <c r="T12" s="6"/>
      <c r="U12" s="7"/>
    </row>
    <row r="13" spans="2:21" x14ac:dyDescent="0.2">
      <c r="H13" s="57"/>
      <c r="I13" s="57"/>
      <c r="J13" s="57"/>
      <c r="O13" s="17"/>
      <c r="P13" s="6"/>
      <c r="Q13" s="6"/>
      <c r="R13" s="6"/>
      <c r="S13" s="6"/>
      <c r="T13" s="6"/>
      <c r="U13" s="7"/>
    </row>
    <row r="14" spans="2:21" x14ac:dyDescent="0.2">
      <c r="O14" s="18"/>
      <c r="P14" s="8"/>
      <c r="Q14" s="8"/>
      <c r="R14" s="8"/>
      <c r="S14" s="8"/>
      <c r="T14" s="8"/>
      <c r="U14" s="9"/>
    </row>
    <row r="15" spans="2:21" x14ac:dyDescent="0.2">
      <c r="B15" s="167" t="s">
        <v>10</v>
      </c>
      <c r="C15" s="168"/>
      <c r="D15" s="169"/>
    </row>
    <row r="16" spans="2:21" x14ac:dyDescent="0.2">
      <c r="B16" s="16" t="s">
        <v>11</v>
      </c>
      <c r="C16" s="172" t="s">
        <v>94</v>
      </c>
      <c r="D16" s="173"/>
    </row>
    <row r="17" spans="2:16" x14ac:dyDescent="0.2">
      <c r="B17" s="16" t="s">
        <v>95</v>
      </c>
      <c r="C17" s="172" t="s">
        <v>96</v>
      </c>
      <c r="D17" s="173"/>
      <c r="H17" s="167" t="s">
        <v>125</v>
      </c>
      <c r="I17" s="168"/>
      <c r="J17" s="168"/>
      <c r="K17" s="168"/>
      <c r="L17" s="169"/>
    </row>
    <row r="18" spans="2:16" x14ac:dyDescent="0.2">
      <c r="B18" s="16"/>
      <c r="C18" s="172"/>
      <c r="D18" s="173"/>
      <c r="H18" s="81" t="s">
        <v>119</v>
      </c>
      <c r="I18" s="82"/>
      <c r="J18" s="82"/>
      <c r="K18" s="6"/>
      <c r="L18" s="7"/>
    </row>
    <row r="19" spans="2:16" x14ac:dyDescent="0.2">
      <c r="B19" s="50"/>
      <c r="C19" s="170"/>
      <c r="D19" s="171"/>
      <c r="H19" s="85" t="s">
        <v>120</v>
      </c>
      <c r="I19" s="82"/>
      <c r="J19" s="82"/>
      <c r="K19" s="6"/>
      <c r="L19" s="7"/>
    </row>
    <row r="20" spans="2:16" x14ac:dyDescent="0.2">
      <c r="H20" s="85"/>
      <c r="I20" s="82"/>
      <c r="J20" s="82"/>
      <c r="K20" s="6"/>
      <c r="L20" s="7"/>
      <c r="P20" s="88" t="s">
        <v>130</v>
      </c>
    </row>
    <row r="21" spans="2:16" x14ac:dyDescent="0.2">
      <c r="H21" s="81" t="s">
        <v>121</v>
      </c>
      <c r="I21" s="82"/>
      <c r="J21" s="82"/>
      <c r="K21" s="6"/>
      <c r="L21" s="7"/>
      <c r="P21" s="88" t="s">
        <v>129</v>
      </c>
    </row>
    <row r="22" spans="2:16" x14ac:dyDescent="0.2">
      <c r="B22" s="167" t="s">
        <v>26</v>
      </c>
      <c r="C22" s="168"/>
      <c r="D22" s="169"/>
      <c r="H22" s="85" t="s">
        <v>122</v>
      </c>
      <c r="I22" s="82"/>
      <c r="J22" s="82"/>
      <c r="K22" s="6"/>
      <c r="L22" s="7"/>
    </row>
    <row r="23" spans="2:16" x14ac:dyDescent="0.2">
      <c r="B23" s="17" t="s">
        <v>27</v>
      </c>
      <c r="C23" s="172" t="s">
        <v>29</v>
      </c>
      <c r="D23" s="173"/>
      <c r="H23" s="86" t="s">
        <v>128</v>
      </c>
      <c r="I23" s="82"/>
      <c r="J23" s="82"/>
      <c r="K23" s="6"/>
      <c r="L23" s="7"/>
    </row>
    <row r="24" spans="2:16" x14ac:dyDescent="0.2">
      <c r="B24" s="17" t="s">
        <v>28</v>
      </c>
      <c r="C24" s="172">
        <v>2010</v>
      </c>
      <c r="D24" s="173"/>
      <c r="H24" s="81"/>
      <c r="I24" s="82"/>
      <c r="J24" s="82"/>
      <c r="K24" s="6"/>
      <c r="L24" s="7"/>
    </row>
    <row r="25" spans="2:16" x14ac:dyDescent="0.2">
      <c r="B25" s="17" t="s">
        <v>32</v>
      </c>
      <c r="C25" s="172">
        <f>+'Financial Model'!Z25</f>
        <v>71</v>
      </c>
      <c r="D25" s="173"/>
      <c r="H25" s="81"/>
      <c r="I25" s="82"/>
      <c r="J25" s="82"/>
      <c r="K25" s="6"/>
      <c r="L25" s="7"/>
      <c r="O25" s="162" t="s">
        <v>150</v>
      </c>
    </row>
    <row r="26" spans="2:16" x14ac:dyDescent="0.2">
      <c r="B26" s="17" t="s">
        <v>114</v>
      </c>
      <c r="C26" s="182">
        <f>+'Financial Model'!Z33</f>
        <v>2787</v>
      </c>
      <c r="D26" s="173"/>
      <c r="H26" s="83"/>
      <c r="I26" s="84"/>
      <c r="J26" s="84"/>
      <c r="K26" s="8"/>
      <c r="L26" s="9"/>
    </row>
    <row r="27" spans="2:16" x14ac:dyDescent="0.2">
      <c r="B27" s="17" t="s">
        <v>118</v>
      </c>
      <c r="C27" s="172">
        <v>2016</v>
      </c>
      <c r="D27" s="173"/>
    </row>
    <row r="28" spans="2:16" x14ac:dyDescent="0.2">
      <c r="B28" s="17" t="s">
        <v>139</v>
      </c>
      <c r="C28" s="89" t="s">
        <v>155</v>
      </c>
      <c r="D28" s="97">
        <v>45446</v>
      </c>
    </row>
    <row r="29" spans="2:16" x14ac:dyDescent="0.2">
      <c r="B29" s="18" t="s">
        <v>30</v>
      </c>
      <c r="C29" s="185" t="s">
        <v>31</v>
      </c>
      <c r="D29" s="186"/>
      <c r="H29" s="167" t="s">
        <v>126</v>
      </c>
      <c r="I29" s="168"/>
      <c r="J29" s="168"/>
      <c r="K29" s="168"/>
      <c r="L29" s="169"/>
    </row>
    <row r="30" spans="2:16" x14ac:dyDescent="0.2">
      <c r="H30" s="81" t="s">
        <v>119</v>
      </c>
      <c r="I30" s="82"/>
      <c r="J30" s="82"/>
      <c r="K30" s="6"/>
      <c r="L30" s="7"/>
    </row>
    <row r="31" spans="2:16" x14ac:dyDescent="0.2">
      <c r="H31" s="85" t="s">
        <v>123</v>
      </c>
      <c r="I31" s="82"/>
      <c r="J31" s="82"/>
      <c r="K31" s="6"/>
      <c r="L31" s="7"/>
    </row>
    <row r="32" spans="2:16" x14ac:dyDescent="0.2">
      <c r="B32" s="167" t="s">
        <v>133</v>
      </c>
      <c r="C32" s="168"/>
      <c r="D32" s="169"/>
      <c r="H32" s="85" t="s">
        <v>124</v>
      </c>
      <c r="I32" s="82"/>
      <c r="J32" s="82"/>
      <c r="K32" s="6"/>
      <c r="L32" s="7"/>
    </row>
    <row r="33" spans="2:12" x14ac:dyDescent="0.2">
      <c r="B33" s="17" t="s">
        <v>134</v>
      </c>
      <c r="C33" s="183">
        <f>C6/'Financial Model'!P66</f>
        <v>3.6746491234738916</v>
      </c>
      <c r="D33" s="184"/>
      <c r="H33" s="85"/>
      <c r="I33" s="82"/>
      <c r="J33" s="82"/>
      <c r="K33" s="6"/>
      <c r="L33" s="7"/>
    </row>
    <row r="34" spans="2:12" x14ac:dyDescent="0.2">
      <c r="B34" s="17" t="s">
        <v>135</v>
      </c>
      <c r="C34" s="183">
        <f>+C8/SUM('Financial Model'!O3:P3)</f>
        <v>2.4726448567905202</v>
      </c>
      <c r="D34" s="184"/>
      <c r="H34" s="81" t="s">
        <v>121</v>
      </c>
      <c r="I34" s="82"/>
      <c r="J34" s="82"/>
      <c r="K34" s="6"/>
      <c r="L34" s="7"/>
    </row>
    <row r="35" spans="2:12" x14ac:dyDescent="0.2">
      <c r="B35" s="17" t="s">
        <v>141</v>
      </c>
      <c r="C35" s="183">
        <f>+C12/SUM('Financial Model'!O3:P3)</f>
        <v>2.2879844608348163</v>
      </c>
      <c r="D35" s="184"/>
      <c r="H35" s="85" t="s">
        <v>127</v>
      </c>
      <c r="I35" s="82"/>
      <c r="J35" s="82"/>
      <c r="K35" s="6"/>
      <c r="L35" s="7"/>
    </row>
    <row r="36" spans="2:12" x14ac:dyDescent="0.2">
      <c r="B36" s="17" t="s">
        <v>136</v>
      </c>
      <c r="C36" s="183">
        <f>+C6/SUM('Financial Model'!O13:P13)</f>
        <v>16.170113612901787</v>
      </c>
      <c r="D36" s="184"/>
      <c r="H36" s="81"/>
      <c r="I36" s="82"/>
      <c r="J36" s="82"/>
      <c r="K36" s="6"/>
      <c r="L36" s="7"/>
    </row>
    <row r="37" spans="2:12" x14ac:dyDescent="0.2">
      <c r="B37" s="18" t="s">
        <v>142</v>
      </c>
      <c r="C37" s="180">
        <f>+C12/SUM('Financial Model'!O12:P12)</f>
        <v>15.009801973638021</v>
      </c>
      <c r="D37" s="181"/>
      <c r="H37" s="81"/>
      <c r="I37" s="82"/>
      <c r="J37" s="82"/>
      <c r="K37" s="6"/>
      <c r="L37" s="7"/>
    </row>
    <row r="38" spans="2:12" x14ac:dyDescent="0.2">
      <c r="H38" s="83"/>
      <c r="I38" s="84"/>
      <c r="J38" s="84"/>
      <c r="K38" s="8"/>
      <c r="L38" s="9"/>
    </row>
  </sheetData>
  <mergeCells count="30">
    <mergeCell ref="H29:L29"/>
    <mergeCell ref="C29:D29"/>
    <mergeCell ref="C35:D35"/>
    <mergeCell ref="B5:D5"/>
    <mergeCell ref="B15:D15"/>
    <mergeCell ref="C16:D16"/>
    <mergeCell ref="C17:D17"/>
    <mergeCell ref="C18:D18"/>
    <mergeCell ref="C37:D37"/>
    <mergeCell ref="C26:D26"/>
    <mergeCell ref="C27:D27"/>
    <mergeCell ref="C25:D25"/>
    <mergeCell ref="B32:D32"/>
    <mergeCell ref="C33:D33"/>
    <mergeCell ref="C34:D34"/>
    <mergeCell ref="C36:D36"/>
    <mergeCell ref="O5:U5"/>
    <mergeCell ref="C19:D19"/>
    <mergeCell ref="B22:D22"/>
    <mergeCell ref="C23:D23"/>
    <mergeCell ref="C24:D24"/>
    <mergeCell ref="H5:L5"/>
    <mergeCell ref="H6:K6"/>
    <mergeCell ref="H7:K7"/>
    <mergeCell ref="H8:K8"/>
    <mergeCell ref="H9:K9"/>
    <mergeCell ref="H10:K10"/>
    <mergeCell ref="H11:K11"/>
    <mergeCell ref="H12:K12"/>
    <mergeCell ref="H17:L17"/>
  </mergeCells>
  <hyperlinks>
    <hyperlink ref="C29:D29" r:id="rId1" display="Link" xr:uid="{A84D86FA-48B5-44CA-921D-0808FAD93C29}"/>
    <hyperlink ref="H7:K7" r:id="rId2" display="Ten Entertainment Group" xr:uid="{3ECDA33B-F500-4B53-BFC3-C26A5E9CD34E}"/>
    <hyperlink ref="P10" r:id="rId3" xr:uid="{D95A0780-5F95-45A9-AA92-44BF55CFDC51}"/>
    <hyperlink ref="P8" r:id="rId4" xr:uid="{66193291-EDC1-402D-BD22-8E08782733F4}"/>
  </hyperlinks>
  <pageMargins left="0.7" right="0.7" top="0.75" bottom="0.75" header="0.3" footer="0.3"/>
  <pageSetup paperSize="256" orientation="portrait" horizontalDpi="203" verticalDpi="203" r:id="rId5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A8208-8B07-4316-8637-70611CF2B90F}">
  <dimension ref="A1:CV85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O6" sqref="O6"/>
    </sheetView>
  </sheetViews>
  <sheetFormatPr defaultColWidth="9.140625" defaultRowHeight="12.75" x14ac:dyDescent="0.2"/>
  <cols>
    <col min="1" max="1" width="4.42578125" style="1" customWidth="1"/>
    <col min="2" max="2" width="21.85546875" style="1" bestFit="1" customWidth="1"/>
    <col min="3" max="4" width="9.140625" style="1"/>
    <col min="5" max="5" width="9.140625" style="25"/>
    <col min="6" max="6" width="9.140625" style="1"/>
    <col min="7" max="7" width="9.140625" style="25"/>
    <col min="8" max="8" width="9.140625" style="1"/>
    <col min="9" max="9" width="9.140625" style="25"/>
    <col min="10" max="10" width="9.140625" style="1"/>
    <col min="11" max="11" width="9.140625" style="25"/>
    <col min="12" max="12" width="9.140625" style="1"/>
    <col min="13" max="13" width="9.140625" style="25"/>
    <col min="14" max="14" width="9.140625" style="1"/>
    <col min="15" max="15" width="9.140625" style="25"/>
    <col min="16" max="16" width="9.140625" style="189"/>
    <col min="17" max="17" width="9.140625" style="154"/>
    <col min="18" max="26" width="9.140625" style="1"/>
    <col min="27" max="27" width="9.140625" style="78"/>
    <col min="28" max="43" width="9.140625" style="1"/>
    <col min="44" max="44" width="15.7109375" style="1" bestFit="1" customWidth="1"/>
    <col min="45" max="16384" width="9.140625" style="1"/>
  </cols>
  <sheetData>
    <row r="1" spans="1:100" s="10" customFormat="1" x14ac:dyDescent="0.2">
      <c r="D1" s="10" t="s">
        <v>113</v>
      </c>
      <c r="E1" s="24" t="s">
        <v>111</v>
      </c>
      <c r="F1" s="10" t="s">
        <v>13</v>
      </c>
      <c r="G1" s="24" t="s">
        <v>112</v>
      </c>
      <c r="H1" s="28" t="s">
        <v>14</v>
      </c>
      <c r="I1" s="24" t="s">
        <v>15</v>
      </c>
      <c r="J1" s="10" t="s">
        <v>16</v>
      </c>
      <c r="K1" s="24" t="s">
        <v>17</v>
      </c>
      <c r="L1" s="28" t="s">
        <v>18</v>
      </c>
      <c r="M1" s="24" t="s">
        <v>19</v>
      </c>
      <c r="N1" s="28" t="s">
        <v>149</v>
      </c>
      <c r="O1" s="24" t="s">
        <v>154</v>
      </c>
      <c r="P1" s="187" t="s">
        <v>155</v>
      </c>
      <c r="Q1" s="151" t="s">
        <v>158</v>
      </c>
      <c r="S1" s="10" t="s">
        <v>70</v>
      </c>
      <c r="T1" s="28" t="s">
        <v>69</v>
      </c>
      <c r="U1" s="10" t="s">
        <v>25</v>
      </c>
      <c r="V1" s="28" t="s">
        <v>20</v>
      </c>
      <c r="W1" s="10" t="s">
        <v>21</v>
      </c>
      <c r="X1" s="28" t="s">
        <v>22</v>
      </c>
      <c r="Y1" s="28" t="s">
        <v>23</v>
      </c>
      <c r="Z1" s="28" t="s">
        <v>24</v>
      </c>
      <c r="AA1" s="130" t="s">
        <v>72</v>
      </c>
      <c r="AB1" s="10" t="s">
        <v>73</v>
      </c>
      <c r="AC1" s="10" t="s">
        <v>74</v>
      </c>
      <c r="AD1" s="10" t="s">
        <v>75</v>
      </c>
      <c r="AE1" s="10" t="s">
        <v>76</v>
      </c>
      <c r="AF1" s="10" t="s">
        <v>77</v>
      </c>
      <c r="AG1" s="10" t="s">
        <v>78</v>
      </c>
      <c r="AH1" s="10" t="s">
        <v>79</v>
      </c>
      <c r="AI1" s="10" t="s">
        <v>80</v>
      </c>
      <c r="AJ1" s="10" t="s">
        <v>81</v>
      </c>
      <c r="AK1" s="10" t="s">
        <v>82</v>
      </c>
      <c r="AL1" s="10" t="s">
        <v>83</v>
      </c>
      <c r="AM1" s="10" t="s">
        <v>84</v>
      </c>
      <c r="AN1" s="10" t="s">
        <v>85</v>
      </c>
      <c r="AO1" s="10" t="s">
        <v>86</v>
      </c>
      <c r="AP1" s="10" t="s">
        <v>156</v>
      </c>
    </row>
    <row r="2" spans="1:100" s="21" customFormat="1" x14ac:dyDescent="0.2">
      <c r="A2" s="20"/>
      <c r="B2" s="19"/>
      <c r="E2" s="35"/>
      <c r="F2" s="22">
        <v>43921</v>
      </c>
      <c r="G2" s="35">
        <v>43738</v>
      </c>
      <c r="H2" s="22">
        <v>43921</v>
      </c>
      <c r="I2" s="35">
        <v>44104</v>
      </c>
      <c r="J2" s="22">
        <v>44286</v>
      </c>
      <c r="K2" s="35">
        <v>44469</v>
      </c>
      <c r="L2" s="22">
        <v>44651</v>
      </c>
      <c r="M2" s="35">
        <v>44834</v>
      </c>
      <c r="N2" s="22">
        <v>45016</v>
      </c>
      <c r="O2" s="35">
        <f>Z2</f>
        <v>45199</v>
      </c>
      <c r="P2" s="199">
        <v>45382</v>
      </c>
      <c r="Q2" s="152"/>
      <c r="S2" s="22">
        <v>42643</v>
      </c>
      <c r="T2" s="22">
        <v>43008</v>
      </c>
      <c r="U2" s="22">
        <v>43373</v>
      </c>
      <c r="V2" s="22">
        <v>43738</v>
      </c>
      <c r="W2" s="22">
        <v>44104</v>
      </c>
      <c r="X2" s="22">
        <v>44469</v>
      </c>
      <c r="Y2" s="22">
        <v>44834</v>
      </c>
      <c r="Z2" s="22">
        <v>45199</v>
      </c>
      <c r="AA2" s="131" t="s">
        <v>67</v>
      </c>
      <c r="AB2" s="21" t="s">
        <v>67</v>
      </c>
      <c r="AC2" s="21" t="s">
        <v>67</v>
      </c>
      <c r="AD2" s="21" t="s">
        <v>67</v>
      </c>
      <c r="AE2" s="21" t="s">
        <v>67</v>
      </c>
      <c r="AF2" s="21" t="s">
        <v>67</v>
      </c>
      <c r="AG2" s="21" t="s">
        <v>67</v>
      </c>
      <c r="AH2" s="21" t="s">
        <v>67</v>
      </c>
      <c r="AI2" s="21" t="s">
        <v>67</v>
      </c>
      <c r="AJ2" s="21" t="s">
        <v>67</v>
      </c>
      <c r="AK2" s="21" t="s">
        <v>67</v>
      </c>
      <c r="AL2" s="21" t="s">
        <v>67</v>
      </c>
      <c r="AM2" s="21" t="s">
        <v>67</v>
      </c>
      <c r="AN2" s="21" t="s">
        <v>67</v>
      </c>
      <c r="AO2" s="21" t="s">
        <v>67</v>
      </c>
      <c r="AP2" s="21" t="s">
        <v>67</v>
      </c>
    </row>
    <row r="3" spans="1:100" s="3" customFormat="1" x14ac:dyDescent="0.2">
      <c r="A3" s="11"/>
      <c r="B3" s="3" t="s">
        <v>12</v>
      </c>
      <c r="E3" s="30"/>
      <c r="F3" s="12">
        <v>66.989999999999995</v>
      </c>
      <c r="G3" s="30">
        <f t="shared" ref="G3:G12" si="0">V3-F3</f>
        <v>62.904000000000011</v>
      </c>
      <c r="H3" s="36">
        <v>69.23</v>
      </c>
      <c r="I3" s="30">
        <f>W3-H3</f>
        <v>10.242999999999995</v>
      </c>
      <c r="J3" s="12">
        <v>10.433</v>
      </c>
      <c r="K3" s="30">
        <f>X3-J3</f>
        <v>61.445</v>
      </c>
      <c r="L3" s="12">
        <v>100.173</v>
      </c>
      <c r="M3" s="30">
        <f>Y3-L3</f>
        <v>93.568000000000012</v>
      </c>
      <c r="N3" s="12">
        <v>110.05200000000001</v>
      </c>
      <c r="O3" s="30">
        <f>Z3-N3</f>
        <v>105.02999999999999</v>
      </c>
      <c r="P3" s="201">
        <v>119.187</v>
      </c>
      <c r="Q3" s="153"/>
      <c r="S3" s="12">
        <v>104.803</v>
      </c>
      <c r="T3" s="12">
        <v>113.968</v>
      </c>
      <c r="U3" s="12">
        <v>120.548</v>
      </c>
      <c r="V3" s="12">
        <v>129.89400000000001</v>
      </c>
      <c r="W3" s="12">
        <v>79.472999999999999</v>
      </c>
      <c r="X3" s="12">
        <v>71.878</v>
      </c>
      <c r="Y3" s="12">
        <v>193.74100000000001</v>
      </c>
      <c r="Z3" s="12">
        <v>215.08199999999999</v>
      </c>
      <c r="AA3" s="132">
        <f>Z3*(1+AA21)</f>
        <v>238.74102000000002</v>
      </c>
      <c r="AB3" s="36">
        <f>AA3*(1+AB21)</f>
        <v>274.55217299999998</v>
      </c>
      <c r="AC3" s="36">
        <f t="shared" ref="AC3:AP3" si="1">AB3*(1+AC21)</f>
        <v>329.46260759999996</v>
      </c>
      <c r="AD3" s="36">
        <f t="shared" si="1"/>
        <v>395.35512911999996</v>
      </c>
      <c r="AE3" s="36">
        <f t="shared" si="1"/>
        <v>454.65839848799993</v>
      </c>
      <c r="AF3" s="36">
        <f t="shared" si="1"/>
        <v>500.12423833679998</v>
      </c>
      <c r="AG3" s="36">
        <f t="shared" si="1"/>
        <v>550.13666217048001</v>
      </c>
      <c r="AH3" s="36">
        <f t="shared" si="1"/>
        <v>594.14759514411844</v>
      </c>
      <c r="AI3" s="36">
        <f t="shared" si="1"/>
        <v>623.85497490132434</v>
      </c>
      <c r="AJ3" s="36">
        <f t="shared" si="1"/>
        <v>655.04772364639064</v>
      </c>
      <c r="AK3" s="36">
        <f t="shared" si="1"/>
        <v>668.14867811931845</v>
      </c>
      <c r="AL3" s="36">
        <f t="shared" si="1"/>
        <v>681.51165168170485</v>
      </c>
      <c r="AM3" s="36">
        <f t="shared" si="1"/>
        <v>695.14188471533896</v>
      </c>
      <c r="AN3" s="36">
        <f t="shared" si="1"/>
        <v>709.04472240964571</v>
      </c>
      <c r="AO3" s="36">
        <f t="shared" si="1"/>
        <v>723.22561685783865</v>
      </c>
      <c r="AP3" s="36">
        <f t="shared" si="1"/>
        <v>737.69012919499539</v>
      </c>
    </row>
    <row r="4" spans="1:100" x14ac:dyDescent="0.2">
      <c r="A4" s="11"/>
      <c r="B4" s="1" t="s">
        <v>33</v>
      </c>
      <c r="E4" s="31"/>
      <c r="F4" s="14">
        <v>9.4740000000000002</v>
      </c>
      <c r="G4" s="31">
        <f t="shared" si="0"/>
        <v>9.0680000000000014</v>
      </c>
      <c r="H4" s="27">
        <v>9.9760000000000009</v>
      </c>
      <c r="I4" s="31">
        <f>W4-H4</f>
        <v>1.5669999999999984</v>
      </c>
      <c r="J4" s="14">
        <v>1.1919999999999999</v>
      </c>
      <c r="K4" s="31">
        <f>X4-J4</f>
        <v>9.0649999999999995</v>
      </c>
      <c r="L4" s="14">
        <v>13.641</v>
      </c>
      <c r="M4" s="31">
        <f>Y4-L4</f>
        <v>15.750999999999999</v>
      </c>
      <c r="N4" s="14">
        <v>18.972000000000001</v>
      </c>
      <c r="O4" s="31">
        <f>Z4-N4</f>
        <v>59.235999999999997</v>
      </c>
      <c r="P4" s="200">
        <f>19.825+22.269</f>
        <v>42.093999999999994</v>
      </c>
      <c r="S4" s="14">
        <v>15.375999999999999</v>
      </c>
      <c r="T4" s="14">
        <v>15.349</v>
      </c>
      <c r="U4" s="14">
        <v>16.748000000000001</v>
      </c>
      <c r="V4" s="14">
        <v>18.542000000000002</v>
      </c>
      <c r="W4" s="14">
        <v>11.542999999999999</v>
      </c>
      <c r="X4" s="14">
        <v>10.257</v>
      </c>
      <c r="Y4" s="14">
        <v>29.391999999999999</v>
      </c>
      <c r="Z4" s="14">
        <f>37.491+40.717</f>
        <v>78.207999999999998</v>
      </c>
      <c r="AA4" s="133">
        <f>AA3*0.16</f>
        <v>38.198563200000002</v>
      </c>
      <c r="AB4" s="27">
        <f t="shared" ref="AB4:AP4" si="2">AB3*0.14</f>
        <v>38.437304220000001</v>
      </c>
      <c r="AC4" s="27">
        <f t="shared" si="2"/>
        <v>46.124765063999995</v>
      </c>
      <c r="AD4" s="27">
        <f t="shared" si="2"/>
        <v>55.349718076800002</v>
      </c>
      <c r="AE4" s="27">
        <f t="shared" si="2"/>
        <v>63.652175788319994</v>
      </c>
      <c r="AF4" s="27">
        <f t="shared" si="2"/>
        <v>70.01739336715201</v>
      </c>
      <c r="AG4" s="27">
        <f t="shared" si="2"/>
        <v>77.019132703867214</v>
      </c>
      <c r="AH4" s="27">
        <f t="shared" si="2"/>
        <v>83.180663320176592</v>
      </c>
      <c r="AI4" s="27">
        <f t="shared" si="2"/>
        <v>87.339696486185417</v>
      </c>
      <c r="AJ4" s="27">
        <f t="shared" si="2"/>
        <v>91.706681310494702</v>
      </c>
      <c r="AK4" s="27">
        <f t="shared" si="2"/>
        <v>93.540814936704592</v>
      </c>
      <c r="AL4" s="27">
        <f t="shared" si="2"/>
        <v>95.411631235438691</v>
      </c>
      <c r="AM4" s="27">
        <f t="shared" si="2"/>
        <v>97.319863860147464</v>
      </c>
      <c r="AN4" s="27">
        <f t="shared" si="2"/>
        <v>99.266261137350412</v>
      </c>
      <c r="AO4" s="27">
        <f t="shared" si="2"/>
        <v>101.25158636009742</v>
      </c>
      <c r="AP4" s="27">
        <f t="shared" si="2"/>
        <v>103.27661808729937</v>
      </c>
    </row>
    <row r="5" spans="1:100" s="3" customFormat="1" x14ac:dyDescent="0.2">
      <c r="A5" s="11"/>
      <c r="B5" s="3" t="s">
        <v>34</v>
      </c>
      <c r="E5" s="30"/>
      <c r="F5" s="12">
        <f>F3-F4</f>
        <v>57.515999999999991</v>
      </c>
      <c r="G5" s="30">
        <f t="shared" si="0"/>
        <v>53.836000000000013</v>
      </c>
      <c r="H5" s="36">
        <f t="shared" ref="H5:P5" si="3">H3-H4</f>
        <v>59.254000000000005</v>
      </c>
      <c r="I5" s="30">
        <f t="shared" si="3"/>
        <v>8.6759999999999966</v>
      </c>
      <c r="J5" s="12">
        <f t="shared" si="3"/>
        <v>9.2409999999999997</v>
      </c>
      <c r="K5" s="30">
        <f t="shared" si="3"/>
        <v>52.38</v>
      </c>
      <c r="L5" s="12">
        <f t="shared" si="3"/>
        <v>86.531999999999996</v>
      </c>
      <c r="M5" s="30">
        <f t="shared" si="3"/>
        <v>77.817000000000007</v>
      </c>
      <c r="N5" s="12">
        <f t="shared" si="3"/>
        <v>91.080000000000013</v>
      </c>
      <c r="O5" s="30">
        <f t="shared" si="3"/>
        <v>45.79399999999999</v>
      </c>
      <c r="P5" s="12">
        <f t="shared" si="3"/>
        <v>77.093000000000004</v>
      </c>
      <c r="Q5" s="153"/>
      <c r="S5" s="12">
        <f t="shared" ref="S5:Z5" si="4">S3-S4</f>
        <v>89.426999999999992</v>
      </c>
      <c r="T5" s="12">
        <f t="shared" si="4"/>
        <v>98.619</v>
      </c>
      <c r="U5" s="12">
        <f t="shared" si="4"/>
        <v>103.8</v>
      </c>
      <c r="V5" s="12">
        <f t="shared" si="4"/>
        <v>111.352</v>
      </c>
      <c r="W5" s="12">
        <f t="shared" si="4"/>
        <v>67.930000000000007</v>
      </c>
      <c r="X5" s="12">
        <f t="shared" si="4"/>
        <v>61.621000000000002</v>
      </c>
      <c r="Y5" s="12">
        <f t="shared" si="4"/>
        <v>164.34900000000002</v>
      </c>
      <c r="Z5" s="12">
        <f t="shared" si="4"/>
        <v>136.874</v>
      </c>
      <c r="AA5" s="132">
        <f>AA3-AA4</f>
        <v>200.54245680000002</v>
      </c>
      <c r="AB5" s="12">
        <f t="shared" ref="AB5:AP5" si="5">AB3-AB4</f>
        <v>236.11486877999999</v>
      </c>
      <c r="AC5" s="12">
        <f t="shared" si="5"/>
        <v>283.33784253599998</v>
      </c>
      <c r="AD5" s="12">
        <f t="shared" si="5"/>
        <v>340.00541104319996</v>
      </c>
      <c r="AE5" s="12">
        <f t="shared" si="5"/>
        <v>391.00622269967994</v>
      </c>
      <c r="AF5" s="12">
        <f t="shared" si="5"/>
        <v>430.10684496964797</v>
      </c>
      <c r="AG5" s="12">
        <f t="shared" si="5"/>
        <v>473.11752946661278</v>
      </c>
      <c r="AH5" s="12">
        <f t="shared" si="5"/>
        <v>510.96693182394188</v>
      </c>
      <c r="AI5" s="12">
        <f t="shared" si="5"/>
        <v>536.51527841513894</v>
      </c>
      <c r="AJ5" s="12">
        <f t="shared" si="5"/>
        <v>563.34104233589596</v>
      </c>
      <c r="AK5" s="12">
        <f t="shared" si="5"/>
        <v>574.60786318261387</v>
      </c>
      <c r="AL5" s="12">
        <f t="shared" si="5"/>
        <v>586.10002044626617</v>
      </c>
      <c r="AM5" s="12">
        <f t="shared" si="5"/>
        <v>597.82202085519145</v>
      </c>
      <c r="AN5" s="12">
        <f t="shared" si="5"/>
        <v>609.77846127229532</v>
      </c>
      <c r="AO5" s="12">
        <f t="shared" si="5"/>
        <v>621.97403049774118</v>
      </c>
      <c r="AP5" s="12">
        <f t="shared" si="5"/>
        <v>634.41351110769597</v>
      </c>
    </row>
    <row r="6" spans="1:100" x14ac:dyDescent="0.2">
      <c r="A6" s="12"/>
      <c r="B6" s="1" t="s">
        <v>35</v>
      </c>
      <c r="E6" s="31"/>
      <c r="F6" s="14">
        <v>0</v>
      </c>
      <c r="G6" s="31">
        <f t="shared" si="0"/>
        <v>0</v>
      </c>
      <c r="H6" s="27">
        <v>0</v>
      </c>
      <c r="I6" s="31">
        <f>W6-H6</f>
        <v>0</v>
      </c>
      <c r="J6" s="14">
        <v>1.5940000000000001</v>
      </c>
      <c r="K6" s="31">
        <f>X6-J6</f>
        <v>1.22</v>
      </c>
      <c r="L6" s="14">
        <v>0</v>
      </c>
      <c r="M6" s="31">
        <f>Y6-L6</f>
        <v>3.9E-2</v>
      </c>
      <c r="N6" s="14">
        <v>0</v>
      </c>
      <c r="O6" s="31">
        <f t="shared" ref="O6:O11" si="6">Z6-N6</f>
        <v>0</v>
      </c>
      <c r="P6" s="200">
        <v>0</v>
      </c>
      <c r="S6" s="14">
        <v>1.395</v>
      </c>
      <c r="T6" s="14">
        <v>0.08</v>
      </c>
      <c r="U6" s="14">
        <v>0</v>
      </c>
      <c r="V6" s="14">
        <v>0</v>
      </c>
      <c r="W6" s="14">
        <v>0</v>
      </c>
      <c r="X6" s="14">
        <v>2.8140000000000001</v>
      </c>
      <c r="Y6" s="14">
        <v>3.9E-2</v>
      </c>
      <c r="Z6" s="14">
        <v>0</v>
      </c>
      <c r="AA6" s="133">
        <f>-AVERAGE(V6:Z6)</f>
        <v>-0.5706</v>
      </c>
      <c r="AB6" s="14">
        <f t="shared" ref="AB6:AH6" si="7">AVERAGE(S6:AA6)</f>
        <v>0.41748888888888885</v>
      </c>
      <c r="AC6" s="14">
        <f t="shared" si="7"/>
        <v>0.30887654320987656</v>
      </c>
      <c r="AD6" s="14">
        <f t="shared" si="7"/>
        <v>0.33430727023319612</v>
      </c>
      <c r="AE6" s="14">
        <f t="shared" si="7"/>
        <v>0.37145252248132904</v>
      </c>
      <c r="AF6" s="14">
        <f t="shared" si="7"/>
        <v>0.41272502497925445</v>
      </c>
      <c r="AG6" s="14">
        <f t="shared" si="7"/>
        <v>0.45858336108806053</v>
      </c>
      <c r="AH6" s="14">
        <f t="shared" si="7"/>
        <v>0.19687040120895619</v>
      </c>
      <c r="AI6" s="14">
        <f>AVERAGE(AA6:AH6)</f>
        <v>0.24121300151119521</v>
      </c>
      <c r="AJ6" s="14">
        <f t="shared" ref="AJ6:AP6" si="8">AVERAGE(AB6:AI6)</f>
        <v>0.34268962670009467</v>
      </c>
      <c r="AK6" s="14">
        <f t="shared" si="8"/>
        <v>0.33333971892649533</v>
      </c>
      <c r="AL6" s="14">
        <f t="shared" si="8"/>
        <v>0.33639761589107264</v>
      </c>
      <c r="AM6" s="14">
        <f t="shared" si="8"/>
        <v>0.33665890909830726</v>
      </c>
      <c r="AN6" s="14">
        <f t="shared" si="8"/>
        <v>0.33230970742542953</v>
      </c>
      <c r="AO6" s="14">
        <f t="shared" si="8"/>
        <v>0.32225779273120136</v>
      </c>
      <c r="AP6" s="14">
        <f t="shared" si="8"/>
        <v>0.30521709668659402</v>
      </c>
    </row>
    <row r="7" spans="1:100" x14ac:dyDescent="0.2">
      <c r="B7" s="1" t="s">
        <v>36</v>
      </c>
      <c r="E7" s="31"/>
      <c r="F7" s="14">
        <v>40.753</v>
      </c>
      <c r="G7" s="31">
        <f t="shared" si="0"/>
        <v>42.155000000000001</v>
      </c>
      <c r="H7" s="27">
        <v>40.078000000000003</v>
      </c>
      <c r="I7" s="31">
        <f>W7-H7</f>
        <v>17.991</v>
      </c>
      <c r="J7" s="14">
        <v>20.856999999999999</v>
      </c>
      <c r="K7" s="31">
        <f>X7-J7</f>
        <v>33.997999999999998</v>
      </c>
      <c r="L7" s="14">
        <v>48.915999999999997</v>
      </c>
      <c r="M7" s="31">
        <f>Y7-L7</f>
        <v>60.022999999999996</v>
      </c>
      <c r="N7" s="14">
        <v>58.933999999999997</v>
      </c>
      <c r="O7" s="31">
        <f t="shared" si="6"/>
        <v>23.855000000000004</v>
      </c>
      <c r="P7" s="200">
        <v>42.725000000000001</v>
      </c>
      <c r="S7" s="14">
        <v>76.444000000000003</v>
      </c>
      <c r="T7" s="14">
        <v>76.498000000000005</v>
      </c>
      <c r="U7" s="14">
        <v>78.908000000000001</v>
      </c>
      <c r="V7" s="14">
        <v>82.908000000000001</v>
      </c>
      <c r="W7" s="14">
        <v>58.069000000000003</v>
      </c>
      <c r="X7" s="14">
        <v>54.854999999999997</v>
      </c>
      <c r="Y7" s="14">
        <v>108.93899999999999</v>
      </c>
      <c r="Z7" s="14">
        <v>82.789000000000001</v>
      </c>
      <c r="AA7" s="133">
        <f>AA5*0.62</f>
        <v>124.33632321600001</v>
      </c>
      <c r="AB7" s="27">
        <f>AB5*0.63</f>
        <v>148.7523673314</v>
      </c>
      <c r="AC7" s="27">
        <f t="shared" ref="AC7:AP7" si="9">AC5*0.63</f>
        <v>178.50284079767999</v>
      </c>
      <c r="AD7" s="27">
        <f t="shared" si="9"/>
        <v>214.20340895721597</v>
      </c>
      <c r="AE7" s="27">
        <f t="shared" si="9"/>
        <v>246.33392030079835</v>
      </c>
      <c r="AF7" s="27">
        <f t="shared" si="9"/>
        <v>270.9673123308782</v>
      </c>
      <c r="AG7" s="27">
        <f t="shared" si="9"/>
        <v>298.06404356396604</v>
      </c>
      <c r="AH7" s="27">
        <f t="shared" si="9"/>
        <v>321.90916704908341</v>
      </c>
      <c r="AI7" s="27">
        <f t="shared" si="9"/>
        <v>338.00462540153751</v>
      </c>
      <c r="AJ7" s="27">
        <f t="shared" si="9"/>
        <v>354.90485667161448</v>
      </c>
      <c r="AK7" s="27">
        <f t="shared" si="9"/>
        <v>362.00295380504673</v>
      </c>
      <c r="AL7" s="27">
        <f t="shared" si="9"/>
        <v>369.24301288114771</v>
      </c>
      <c r="AM7" s="27">
        <f t="shared" si="9"/>
        <v>376.62787313877061</v>
      </c>
      <c r="AN7" s="27">
        <f t="shared" si="9"/>
        <v>384.16043060154607</v>
      </c>
      <c r="AO7" s="27">
        <f t="shared" si="9"/>
        <v>391.84363921357692</v>
      </c>
      <c r="AP7" s="27">
        <f t="shared" si="9"/>
        <v>399.68051199784844</v>
      </c>
    </row>
    <row r="8" spans="1:100" s="3" customFormat="1" x14ac:dyDescent="0.2">
      <c r="B8" s="3" t="s">
        <v>37</v>
      </c>
      <c r="E8" s="30"/>
      <c r="F8" s="12">
        <f>F5+F6-F7</f>
        <v>16.762999999999991</v>
      </c>
      <c r="G8" s="30">
        <f t="shared" si="0"/>
        <v>11.681000000000012</v>
      </c>
      <c r="H8" s="36">
        <f t="shared" ref="H8:P8" si="10">H5+H6-H7</f>
        <v>19.176000000000002</v>
      </c>
      <c r="I8" s="30">
        <f t="shared" si="10"/>
        <v>-9.3150000000000031</v>
      </c>
      <c r="J8" s="12">
        <f t="shared" si="10"/>
        <v>-10.022</v>
      </c>
      <c r="K8" s="30">
        <f t="shared" si="10"/>
        <v>19.602000000000004</v>
      </c>
      <c r="L8" s="12">
        <f t="shared" si="10"/>
        <v>37.616</v>
      </c>
      <c r="M8" s="30">
        <f t="shared" si="10"/>
        <v>17.833000000000013</v>
      </c>
      <c r="N8" s="12">
        <f t="shared" si="10"/>
        <v>32.146000000000015</v>
      </c>
      <c r="O8" s="30">
        <f t="shared" si="10"/>
        <v>21.938999999999986</v>
      </c>
      <c r="P8" s="12">
        <f t="shared" si="10"/>
        <v>34.368000000000002</v>
      </c>
      <c r="Q8" s="153"/>
      <c r="S8" s="12">
        <f t="shared" ref="S8:AA8" si="11">S5+S6-S7</f>
        <v>14.377999999999986</v>
      </c>
      <c r="T8" s="12">
        <f t="shared" si="11"/>
        <v>22.200999999999993</v>
      </c>
      <c r="U8" s="12">
        <f t="shared" si="11"/>
        <v>24.891999999999996</v>
      </c>
      <c r="V8" s="12">
        <f t="shared" si="11"/>
        <v>28.444000000000003</v>
      </c>
      <c r="W8" s="12">
        <f t="shared" si="11"/>
        <v>9.8610000000000042</v>
      </c>
      <c r="X8" s="12">
        <f t="shared" si="11"/>
        <v>9.5800000000000054</v>
      </c>
      <c r="Y8" s="12">
        <f t="shared" si="11"/>
        <v>55.449000000000012</v>
      </c>
      <c r="Z8" s="12">
        <f t="shared" si="11"/>
        <v>54.084999999999994</v>
      </c>
      <c r="AA8" s="41">
        <f t="shared" si="11"/>
        <v>75.635533584000001</v>
      </c>
      <c r="AB8" s="12">
        <f t="shared" ref="AB8:AP8" si="12">AB5+AB6-AB7</f>
        <v>87.779990337488897</v>
      </c>
      <c r="AC8" s="12">
        <f t="shared" si="12"/>
        <v>105.14387828152985</v>
      </c>
      <c r="AD8" s="12">
        <f t="shared" si="12"/>
        <v>126.13630935621717</v>
      </c>
      <c r="AE8" s="12">
        <f t="shared" si="12"/>
        <v>145.0437549213629</v>
      </c>
      <c r="AF8" s="12">
        <f t="shared" si="12"/>
        <v>159.552257663749</v>
      </c>
      <c r="AG8" s="12">
        <f t="shared" si="12"/>
        <v>175.51206926373482</v>
      </c>
      <c r="AH8" s="12">
        <f t="shared" si="12"/>
        <v>189.25463517606744</v>
      </c>
      <c r="AI8" s="12">
        <f t="shared" si="12"/>
        <v>198.75186601511257</v>
      </c>
      <c r="AJ8" s="12">
        <f t="shared" si="12"/>
        <v>208.7788752909816</v>
      </c>
      <c r="AK8" s="12">
        <f t="shared" si="12"/>
        <v>212.93824909649362</v>
      </c>
      <c r="AL8" s="12">
        <f t="shared" si="12"/>
        <v>217.19340518100955</v>
      </c>
      <c r="AM8" s="12">
        <f t="shared" si="12"/>
        <v>221.53080662551918</v>
      </c>
      <c r="AN8" s="12">
        <f t="shared" si="12"/>
        <v>225.9503403781747</v>
      </c>
      <c r="AO8" s="12">
        <f t="shared" si="12"/>
        <v>230.45264907689545</v>
      </c>
      <c r="AP8" s="12">
        <f t="shared" si="12"/>
        <v>235.03821620653417</v>
      </c>
    </row>
    <row r="9" spans="1:100" x14ac:dyDescent="0.2">
      <c r="B9" s="1" t="s">
        <v>38</v>
      </c>
      <c r="E9" s="31"/>
      <c r="F9" s="14">
        <f>0.482-0.104</f>
        <v>0.378</v>
      </c>
      <c r="G9" s="31">
        <f t="shared" si="0"/>
        <v>0.47799999999999987</v>
      </c>
      <c r="H9" s="27">
        <f>4.773-0.065</f>
        <v>4.7079999999999993</v>
      </c>
      <c r="I9" s="31">
        <f>W9-H9</f>
        <v>3.9570000000000016</v>
      </c>
      <c r="J9" s="14">
        <v>4.4669999999999996</v>
      </c>
      <c r="K9" s="31">
        <f>X9-J9</f>
        <v>4.6510000000000007</v>
      </c>
      <c r="L9" s="14">
        <v>4.1790000000000003</v>
      </c>
      <c r="M9" s="31">
        <f>Y9-L9</f>
        <v>4.6049999999999986</v>
      </c>
      <c r="N9" s="14">
        <v>4.4569999999999999</v>
      </c>
      <c r="O9" s="31">
        <f t="shared" si="6"/>
        <v>4.5480000000000009</v>
      </c>
      <c r="P9" s="200">
        <f>-1.029+5.869</f>
        <v>4.84</v>
      </c>
      <c r="S9" s="14">
        <f>-0.022+11.905-0.079</f>
        <v>11.803999999999998</v>
      </c>
      <c r="T9" s="14">
        <f>1.158-0.012+0.055</f>
        <v>1.2009999999999998</v>
      </c>
      <c r="U9" s="14">
        <f>0.976-0.018</f>
        <v>0.95799999999999996</v>
      </c>
      <c r="V9" s="14">
        <f>1.023-0.167</f>
        <v>0.85599999999999987</v>
      </c>
      <c r="W9" s="14">
        <f>8.743-0.078</f>
        <v>8.6650000000000009</v>
      </c>
      <c r="X9" s="14">
        <v>9.1180000000000003</v>
      </c>
      <c r="Y9" s="14">
        <f>-0.012+8.796</f>
        <v>8.7839999999999989</v>
      </c>
      <c r="Z9" s="14">
        <f>10.445-1.44</f>
        <v>9.0050000000000008</v>
      </c>
      <c r="AA9" s="133">
        <f>-AVERAGE(W9:Z9)</f>
        <v>-8.8930000000000007</v>
      </c>
      <c r="AB9" s="1">
        <v>2.9</v>
      </c>
      <c r="AC9" s="1">
        <v>3.9</v>
      </c>
      <c r="AD9" s="1">
        <v>4.9000000000000004</v>
      </c>
      <c r="AE9" s="1">
        <v>5.9</v>
      </c>
      <c r="AF9" s="1">
        <v>6.9</v>
      </c>
      <c r="AG9" s="1">
        <v>7.9</v>
      </c>
      <c r="AH9" s="1">
        <v>8.9</v>
      </c>
      <c r="AI9" s="1">
        <v>9.9</v>
      </c>
      <c r="AJ9" s="1">
        <v>10.9</v>
      </c>
      <c r="AK9" s="1">
        <v>11.9</v>
      </c>
      <c r="AL9" s="1">
        <v>12.9</v>
      </c>
      <c r="AM9" s="1">
        <v>13.9</v>
      </c>
      <c r="AN9" s="1">
        <v>14.9</v>
      </c>
      <c r="AO9" s="1">
        <v>15.9</v>
      </c>
      <c r="AP9" s="1">
        <v>16.899999999999999</v>
      </c>
    </row>
    <row r="10" spans="1:100" x14ac:dyDescent="0.2">
      <c r="B10" s="1" t="s">
        <v>39</v>
      </c>
      <c r="E10" s="31"/>
      <c r="F10" s="14">
        <f>F8-F9</f>
        <v>16.384999999999991</v>
      </c>
      <c r="G10" s="31">
        <f t="shared" si="0"/>
        <v>11.20300000000001</v>
      </c>
      <c r="H10" s="27">
        <f t="shared" ref="H10:P10" si="13">H8-H9</f>
        <v>14.468000000000004</v>
      </c>
      <c r="I10" s="31">
        <f t="shared" si="13"/>
        <v>-13.272000000000006</v>
      </c>
      <c r="J10" s="14">
        <f t="shared" si="13"/>
        <v>-14.489000000000001</v>
      </c>
      <c r="K10" s="31">
        <f t="shared" si="13"/>
        <v>14.951000000000004</v>
      </c>
      <c r="L10" s="14">
        <f t="shared" si="13"/>
        <v>33.436999999999998</v>
      </c>
      <c r="M10" s="31">
        <f t="shared" si="13"/>
        <v>13.228000000000014</v>
      </c>
      <c r="N10" s="14">
        <f t="shared" si="13"/>
        <v>27.689000000000014</v>
      </c>
      <c r="O10" s="31">
        <f t="shared" si="13"/>
        <v>17.390999999999984</v>
      </c>
      <c r="P10" s="14">
        <f t="shared" si="13"/>
        <v>29.528000000000002</v>
      </c>
      <c r="S10" s="14">
        <f t="shared" ref="S10:AA10" si="14">S8-S9</f>
        <v>2.5739999999999874</v>
      </c>
      <c r="T10" s="14">
        <f t="shared" si="14"/>
        <v>20.999999999999993</v>
      </c>
      <c r="U10" s="14">
        <f t="shared" si="14"/>
        <v>23.933999999999997</v>
      </c>
      <c r="V10" s="14">
        <f t="shared" si="14"/>
        <v>27.588000000000001</v>
      </c>
      <c r="W10" s="14">
        <f t="shared" si="14"/>
        <v>1.1960000000000033</v>
      </c>
      <c r="X10" s="14">
        <f t="shared" si="14"/>
        <v>0.46200000000000507</v>
      </c>
      <c r="Y10" s="14">
        <f t="shared" si="14"/>
        <v>46.665000000000013</v>
      </c>
      <c r="Z10" s="14">
        <f t="shared" si="14"/>
        <v>45.079999999999991</v>
      </c>
      <c r="AA10" s="44">
        <f t="shared" si="14"/>
        <v>84.528533584000002</v>
      </c>
      <c r="AB10" s="14">
        <f t="shared" ref="AB10:AP10" si="15">AB8-AB9</f>
        <v>84.879990337488891</v>
      </c>
      <c r="AC10" s="14">
        <f t="shared" si="15"/>
        <v>101.24387828152985</v>
      </c>
      <c r="AD10" s="14">
        <f t="shared" si="15"/>
        <v>121.23630935621716</v>
      </c>
      <c r="AE10" s="14">
        <f t="shared" si="15"/>
        <v>139.1437549213629</v>
      </c>
      <c r="AF10" s="14">
        <f t="shared" si="15"/>
        <v>152.652257663749</v>
      </c>
      <c r="AG10" s="14">
        <f t="shared" si="15"/>
        <v>167.61206926373481</v>
      </c>
      <c r="AH10" s="14">
        <f t="shared" si="15"/>
        <v>180.35463517606743</v>
      </c>
      <c r="AI10" s="14">
        <f t="shared" si="15"/>
        <v>188.85186601511256</v>
      </c>
      <c r="AJ10" s="14">
        <f t="shared" si="15"/>
        <v>197.8788752909816</v>
      </c>
      <c r="AK10" s="14">
        <f t="shared" si="15"/>
        <v>201.03824909649362</v>
      </c>
      <c r="AL10" s="14">
        <f t="shared" si="15"/>
        <v>204.29340518100955</v>
      </c>
      <c r="AM10" s="14">
        <f t="shared" si="15"/>
        <v>207.63080662551917</v>
      </c>
      <c r="AN10" s="14">
        <f t="shared" si="15"/>
        <v>211.0503403781747</v>
      </c>
      <c r="AO10" s="14">
        <f t="shared" si="15"/>
        <v>214.55264907689545</v>
      </c>
      <c r="AP10" s="14">
        <f t="shared" si="15"/>
        <v>218.13821620653417</v>
      </c>
    </row>
    <row r="11" spans="1:100" x14ac:dyDescent="0.2">
      <c r="B11" s="1" t="s">
        <v>40</v>
      </c>
      <c r="E11" s="31"/>
      <c r="F11" s="14">
        <v>3.01</v>
      </c>
      <c r="G11" s="31">
        <f t="shared" si="0"/>
        <v>2.2930000000000001</v>
      </c>
      <c r="H11" s="27">
        <v>2.948</v>
      </c>
      <c r="I11" s="31">
        <f>W11-H11</f>
        <v>-3.137</v>
      </c>
      <c r="J11" s="14">
        <v>-2.8559999999999999</v>
      </c>
      <c r="K11" s="31">
        <f>X11-J11</f>
        <v>1.5899999999999999</v>
      </c>
      <c r="L11" s="14">
        <v>6.4119999999999999</v>
      </c>
      <c r="M11" s="31">
        <f>Y11-L11</f>
        <v>2.8020000000000005</v>
      </c>
      <c r="N11" s="14">
        <v>5.7690000000000001</v>
      </c>
      <c r="O11" s="31">
        <f t="shared" si="6"/>
        <v>5.16</v>
      </c>
      <c r="P11" s="200">
        <v>7.5810000000000004</v>
      </c>
      <c r="S11" s="14">
        <v>1.387</v>
      </c>
      <c r="T11" s="14">
        <v>2.8479999999999999</v>
      </c>
      <c r="U11" s="14">
        <v>5.15</v>
      </c>
      <c r="V11" s="14">
        <v>5.3029999999999999</v>
      </c>
      <c r="W11" s="14">
        <v>-0.189</v>
      </c>
      <c r="X11" s="14">
        <v>-1.266</v>
      </c>
      <c r="Y11" s="14">
        <v>9.2140000000000004</v>
      </c>
      <c r="Z11" s="14">
        <v>10.929</v>
      </c>
      <c r="AA11" s="133">
        <f>AA10-AA12</f>
        <v>16.905706716799997</v>
      </c>
      <c r="AB11" s="27">
        <f>AB10*(1-(1-AB19))</f>
        <v>16.975998067497773</v>
      </c>
      <c r="AC11" s="27">
        <f t="shared" ref="AC11:AP11" si="16">AC10*(1-(1-AC19))</f>
        <v>20.248775656305966</v>
      </c>
      <c r="AD11" s="27">
        <f t="shared" si="16"/>
        <v>24.247261871243428</v>
      </c>
      <c r="AE11" s="27">
        <f t="shared" si="16"/>
        <v>27.828750984272574</v>
      </c>
      <c r="AF11" s="27">
        <f t="shared" si="16"/>
        <v>30.530451532749794</v>
      </c>
      <c r="AG11" s="27">
        <f t="shared" si="16"/>
        <v>33.522413852746958</v>
      </c>
      <c r="AH11" s="27">
        <f t="shared" si="16"/>
        <v>36.070927035213479</v>
      </c>
      <c r="AI11" s="27">
        <f t="shared" si="16"/>
        <v>37.770373203022501</v>
      </c>
      <c r="AJ11" s="27">
        <f t="shared" si="16"/>
        <v>39.575775058196314</v>
      </c>
      <c r="AK11" s="27">
        <f t="shared" si="16"/>
        <v>40.207649819298716</v>
      </c>
      <c r="AL11" s="27">
        <f t="shared" si="16"/>
        <v>40.858681036201901</v>
      </c>
      <c r="AM11" s="27">
        <f t="shared" si="16"/>
        <v>41.526161325103828</v>
      </c>
      <c r="AN11" s="27">
        <f t="shared" si="16"/>
        <v>42.210068075634929</v>
      </c>
      <c r="AO11" s="27">
        <f t="shared" si="16"/>
        <v>42.910529815379078</v>
      </c>
      <c r="AP11" s="27">
        <f t="shared" si="16"/>
        <v>43.627643241306821</v>
      </c>
    </row>
    <row r="12" spans="1:100" s="3" customFormat="1" x14ac:dyDescent="0.2">
      <c r="B12" s="3" t="s">
        <v>41</v>
      </c>
      <c r="E12" s="30"/>
      <c r="F12" s="12">
        <f>F10-F11</f>
        <v>13.374999999999991</v>
      </c>
      <c r="G12" s="30">
        <f t="shared" si="0"/>
        <v>8.910000000000009</v>
      </c>
      <c r="H12" s="36">
        <f t="shared" ref="H12:P12" si="17">H10-H11</f>
        <v>11.520000000000003</v>
      </c>
      <c r="I12" s="30">
        <f t="shared" si="17"/>
        <v>-10.135000000000005</v>
      </c>
      <c r="J12" s="12">
        <f t="shared" si="17"/>
        <v>-11.633000000000001</v>
      </c>
      <c r="K12" s="30">
        <f t="shared" si="17"/>
        <v>13.361000000000004</v>
      </c>
      <c r="L12" s="12">
        <f t="shared" si="17"/>
        <v>27.024999999999999</v>
      </c>
      <c r="M12" s="30">
        <f t="shared" si="17"/>
        <v>10.426000000000013</v>
      </c>
      <c r="N12" s="12">
        <f t="shared" si="17"/>
        <v>21.920000000000016</v>
      </c>
      <c r="O12" s="30">
        <f t="shared" si="17"/>
        <v>12.230999999999984</v>
      </c>
      <c r="P12" s="12">
        <f t="shared" si="17"/>
        <v>21.947000000000003</v>
      </c>
      <c r="Q12" s="155"/>
      <c r="R12" s="87"/>
      <c r="S12" s="12">
        <f t="shared" ref="S12:Z12" si="18">S10-S11</f>
        <v>1.1869999999999874</v>
      </c>
      <c r="T12" s="12">
        <f t="shared" si="18"/>
        <v>18.151999999999994</v>
      </c>
      <c r="U12" s="12">
        <f t="shared" si="18"/>
        <v>18.783999999999999</v>
      </c>
      <c r="V12" s="12">
        <f t="shared" si="18"/>
        <v>22.285</v>
      </c>
      <c r="W12" s="12">
        <f t="shared" si="18"/>
        <v>1.3850000000000033</v>
      </c>
      <c r="X12" s="12">
        <f t="shared" si="18"/>
        <v>1.7280000000000051</v>
      </c>
      <c r="Y12" s="12">
        <f t="shared" si="18"/>
        <v>37.451000000000015</v>
      </c>
      <c r="Z12" s="12">
        <f t="shared" si="18"/>
        <v>34.150999999999989</v>
      </c>
      <c r="AA12" s="132">
        <f>AA10*(1-AA19)</f>
        <v>67.622826867200004</v>
      </c>
      <c r="AB12" s="12">
        <f t="shared" ref="AB12:AP12" si="19">AB10-AB11</f>
        <v>67.903992269991122</v>
      </c>
      <c r="AC12" s="12">
        <f t="shared" si="19"/>
        <v>80.995102625223879</v>
      </c>
      <c r="AD12" s="12">
        <f t="shared" si="19"/>
        <v>96.989047484973739</v>
      </c>
      <c r="AE12" s="12">
        <f t="shared" si="19"/>
        <v>111.31500393709032</v>
      </c>
      <c r="AF12" s="12">
        <f t="shared" si="19"/>
        <v>122.1218061309992</v>
      </c>
      <c r="AG12" s="12">
        <f t="shared" si="19"/>
        <v>134.08965541098786</v>
      </c>
      <c r="AH12" s="12">
        <f t="shared" si="19"/>
        <v>144.28370814085395</v>
      </c>
      <c r="AI12" s="12">
        <f t="shared" si="19"/>
        <v>151.08149281209006</v>
      </c>
      <c r="AJ12" s="12">
        <f t="shared" si="19"/>
        <v>158.30310023278528</v>
      </c>
      <c r="AK12" s="12">
        <f t="shared" si="19"/>
        <v>160.83059927719489</v>
      </c>
      <c r="AL12" s="12">
        <f t="shared" si="19"/>
        <v>163.43472414480766</v>
      </c>
      <c r="AM12" s="12">
        <f t="shared" si="19"/>
        <v>166.10464530041534</v>
      </c>
      <c r="AN12" s="12">
        <f t="shared" si="19"/>
        <v>168.84027230253977</v>
      </c>
      <c r="AO12" s="12">
        <f t="shared" si="19"/>
        <v>171.64211926151637</v>
      </c>
      <c r="AP12" s="12">
        <f t="shared" si="19"/>
        <v>174.51057296522734</v>
      </c>
      <c r="AQ12" s="12">
        <f t="shared" ref="AQ12:BV12" si="20">AP12*(1+$AS$15)</f>
        <v>171.02036150592278</v>
      </c>
      <c r="AR12" s="12">
        <f t="shared" si="20"/>
        <v>167.59995427580432</v>
      </c>
      <c r="AS12" s="12">
        <f t="shared" si="20"/>
        <v>164.24795519028822</v>
      </c>
      <c r="AT12" s="12">
        <f t="shared" si="20"/>
        <v>160.96299608648246</v>
      </c>
      <c r="AU12" s="12">
        <f t="shared" si="20"/>
        <v>157.74373616475282</v>
      </c>
      <c r="AV12" s="12">
        <f t="shared" si="20"/>
        <v>154.58886144145777</v>
      </c>
      <c r="AW12" s="12">
        <f t="shared" si="20"/>
        <v>151.49708421262861</v>
      </c>
      <c r="AX12" s="12">
        <f t="shared" si="20"/>
        <v>148.46714252837603</v>
      </c>
      <c r="AY12" s="12">
        <f t="shared" si="20"/>
        <v>145.4977996778085</v>
      </c>
      <c r="AZ12" s="12">
        <f t="shared" si="20"/>
        <v>142.58784368425233</v>
      </c>
      <c r="BA12" s="12">
        <f t="shared" si="20"/>
        <v>139.73608681056729</v>
      </c>
      <c r="BB12" s="12">
        <f t="shared" si="20"/>
        <v>136.94136507435593</v>
      </c>
      <c r="BC12" s="12">
        <f t="shared" si="20"/>
        <v>134.20253777286879</v>
      </c>
      <c r="BD12" s="12">
        <f t="shared" si="20"/>
        <v>131.51848701741142</v>
      </c>
      <c r="BE12" s="12">
        <f t="shared" si="20"/>
        <v>128.88811727706317</v>
      </c>
      <c r="BF12" s="12">
        <f t="shared" si="20"/>
        <v>126.31035493152191</v>
      </c>
      <c r="BG12" s="12">
        <f t="shared" si="20"/>
        <v>123.78414783289148</v>
      </c>
      <c r="BH12" s="12">
        <f t="shared" si="20"/>
        <v>121.30846487623364</v>
      </c>
      <c r="BI12" s="12">
        <f t="shared" si="20"/>
        <v>118.88229557870896</v>
      </c>
      <c r="BJ12" s="12">
        <f t="shared" si="20"/>
        <v>116.50464966713479</v>
      </c>
      <c r="BK12" s="12">
        <f t="shared" si="20"/>
        <v>114.17455667379208</v>
      </c>
      <c r="BL12" s="12">
        <f t="shared" si="20"/>
        <v>111.89106554031623</v>
      </c>
      <c r="BM12" s="12">
        <f t="shared" si="20"/>
        <v>109.65324422950991</v>
      </c>
      <c r="BN12" s="12">
        <f t="shared" si="20"/>
        <v>107.46017934491971</v>
      </c>
      <c r="BO12" s="12">
        <f t="shared" si="20"/>
        <v>105.31097575802131</v>
      </c>
      <c r="BP12" s="12">
        <f t="shared" si="20"/>
        <v>103.20475624286088</v>
      </c>
      <c r="BQ12" s="12">
        <f t="shared" si="20"/>
        <v>101.14066111800366</v>
      </c>
      <c r="BR12" s="12">
        <f t="shared" si="20"/>
        <v>99.117847895643592</v>
      </c>
      <c r="BS12" s="12">
        <f t="shared" si="20"/>
        <v>97.135490937730722</v>
      </c>
      <c r="BT12" s="12">
        <f t="shared" si="20"/>
        <v>95.1927811189761</v>
      </c>
      <c r="BU12" s="12">
        <f t="shared" si="20"/>
        <v>93.288925496596576</v>
      </c>
      <c r="BV12" s="12">
        <f t="shared" si="20"/>
        <v>91.423146986664648</v>
      </c>
      <c r="BW12" s="12">
        <f t="shared" ref="BW12:CV12" si="21">BV12*(1+$AS$15)</f>
        <v>89.594684046931349</v>
      </c>
      <c r="BX12" s="12">
        <f t="shared" si="21"/>
        <v>87.80279036599272</v>
      </c>
      <c r="BY12" s="12">
        <f t="shared" si="21"/>
        <v>86.046734558672867</v>
      </c>
      <c r="BZ12" s="12">
        <f t="shared" si="21"/>
        <v>84.325799867499413</v>
      </c>
      <c r="CA12" s="12">
        <f t="shared" si="21"/>
        <v>82.639283870149427</v>
      </c>
      <c r="CB12" s="12">
        <f t="shared" si="21"/>
        <v>80.986498192746438</v>
      </c>
      <c r="CC12" s="12">
        <f t="shared" si="21"/>
        <v>79.366768228891502</v>
      </c>
      <c r="CD12" s="12">
        <f t="shared" si="21"/>
        <v>77.779432864313677</v>
      </c>
      <c r="CE12" s="12">
        <f t="shared" si="21"/>
        <v>76.223844207027398</v>
      </c>
      <c r="CF12" s="12">
        <f t="shared" si="21"/>
        <v>74.699367322886843</v>
      </c>
      <c r="CG12" s="12">
        <f t="shared" si="21"/>
        <v>73.2053799764291</v>
      </c>
      <c r="CH12" s="12">
        <f t="shared" si="21"/>
        <v>71.741272376900511</v>
      </c>
      <c r="CI12" s="12">
        <f t="shared" si="21"/>
        <v>70.306446929362494</v>
      </c>
      <c r="CJ12" s="12">
        <f t="shared" si="21"/>
        <v>68.90031799077525</v>
      </c>
      <c r="CK12" s="12">
        <f t="shared" si="21"/>
        <v>67.522311630959749</v>
      </c>
      <c r="CL12" s="12">
        <f t="shared" si="21"/>
        <v>66.171865398340557</v>
      </c>
      <c r="CM12" s="12">
        <f t="shared" si="21"/>
        <v>64.848428090373744</v>
      </c>
      <c r="CN12" s="12">
        <f t="shared" si="21"/>
        <v>63.551459528566269</v>
      </c>
      <c r="CO12" s="12">
        <f t="shared" si="21"/>
        <v>62.280430337994943</v>
      </c>
      <c r="CP12" s="12">
        <f t="shared" si="21"/>
        <v>61.034821731235041</v>
      </c>
      <c r="CQ12" s="12">
        <f t="shared" si="21"/>
        <v>59.814125296610342</v>
      </c>
      <c r="CR12" s="12">
        <f t="shared" si="21"/>
        <v>58.617842790678132</v>
      </c>
      <c r="CS12" s="12">
        <f t="shared" si="21"/>
        <v>57.445485934864571</v>
      </c>
      <c r="CT12" s="12">
        <f t="shared" si="21"/>
        <v>56.296576216167281</v>
      </c>
      <c r="CU12" s="12">
        <f t="shared" si="21"/>
        <v>55.170644691843933</v>
      </c>
      <c r="CV12" s="12">
        <f t="shared" si="21"/>
        <v>54.06723179800705</v>
      </c>
    </row>
    <row r="13" spans="1:100" x14ac:dyDescent="0.2">
      <c r="B13" s="1" t="s">
        <v>42</v>
      </c>
      <c r="E13" s="33"/>
      <c r="F13" s="26">
        <f t="shared" ref="F13:M13" si="22">F12/F14</f>
        <v>8.8853291768992385E-2</v>
      </c>
      <c r="G13" s="33">
        <f t="shared" si="22"/>
        <v>5.9400000000000057E-2</v>
      </c>
      <c r="H13" s="26">
        <f t="shared" si="22"/>
        <v>7.6442866571663867E-2</v>
      </c>
      <c r="I13" s="33">
        <f t="shared" si="22"/>
        <v>-6.6068394484364051E-2</v>
      </c>
      <c r="J13" s="26">
        <f t="shared" si="22"/>
        <v>-7.3358228129837819E-2</v>
      </c>
      <c r="K13" s="33">
        <f t="shared" si="22"/>
        <v>8.116869753753031E-2</v>
      </c>
      <c r="L13" s="26">
        <f t="shared" si="22"/>
        <v>0.15819934224664817</v>
      </c>
      <c r="M13" s="33">
        <f t="shared" si="22"/>
        <v>6.0988847885565384E-2</v>
      </c>
      <c r="N13" s="26">
        <f>N12/N14</f>
        <v>0.12802065599267592</v>
      </c>
      <c r="O13" s="33">
        <f>O12/O14</f>
        <v>7.1331079704337108E-2</v>
      </c>
      <c r="P13" s="26">
        <f>P12/P14</f>
        <v>0.12687408302518133</v>
      </c>
      <c r="Q13" s="43"/>
      <c r="R13" s="26"/>
      <c r="S13" s="26">
        <f t="shared" ref="S13:AP13" si="23">S12/S14</f>
        <v>1.1214705682000902E-2</v>
      </c>
      <c r="T13" s="26">
        <f t="shared" si="23"/>
        <v>0.12101333333333329</v>
      </c>
      <c r="U13" s="26">
        <f t="shared" si="23"/>
        <v>0.12522666666666665</v>
      </c>
      <c r="V13" s="26">
        <f t="shared" si="23"/>
        <v>0.14856666666666668</v>
      </c>
      <c r="W13" s="26">
        <f t="shared" si="23"/>
        <v>9.0285867154261852E-3</v>
      </c>
      <c r="X13" s="26">
        <f t="shared" si="23"/>
        <v>1.0497680513797826E-2</v>
      </c>
      <c r="Y13" s="26">
        <f t="shared" si="23"/>
        <v>0.21907666815291649</v>
      </c>
      <c r="Z13" s="26">
        <f t="shared" si="23"/>
        <v>0.19916831845170624</v>
      </c>
      <c r="AA13" s="43">
        <f t="shared" si="23"/>
        <v>0.39437570542856992</v>
      </c>
      <c r="AB13" s="27">
        <f t="shared" si="23"/>
        <v>0.39601545947620259</v>
      </c>
      <c r="AC13" s="27">
        <f t="shared" si="23"/>
        <v>0.47236269487538352</v>
      </c>
      <c r="AD13" s="27">
        <f t="shared" si="23"/>
        <v>0.56563923445330777</v>
      </c>
      <c r="AE13" s="27">
        <f t="shared" si="23"/>
        <v>0.64918808095210523</v>
      </c>
      <c r="AF13" s="27">
        <f t="shared" si="23"/>
        <v>0.71221325212721109</v>
      </c>
      <c r="AG13" s="27">
        <f t="shared" si="23"/>
        <v>0.78200963924849032</v>
      </c>
      <c r="AH13" s="27">
        <f t="shared" si="23"/>
        <v>0.84146126117509434</v>
      </c>
      <c r="AI13" s="27">
        <f t="shared" si="23"/>
        <v>0.88110587896569736</v>
      </c>
      <c r="AJ13" s="27">
        <f t="shared" si="23"/>
        <v>0.9232222271399303</v>
      </c>
      <c r="AK13" s="27">
        <f t="shared" si="23"/>
        <v>0.93796257836136909</v>
      </c>
      <c r="AL13" s="27">
        <f t="shared" si="23"/>
        <v>0.95314981068020921</v>
      </c>
      <c r="AM13" s="27">
        <f t="shared" si="23"/>
        <v>0.96872076634654458</v>
      </c>
      <c r="AN13" s="27">
        <f t="shared" si="23"/>
        <v>0.98467491790650485</v>
      </c>
      <c r="AO13" s="27">
        <f t="shared" si="23"/>
        <v>1.0010152636468461</v>
      </c>
      <c r="AP13" s="27">
        <f t="shared" si="23"/>
        <v>1.0177440593109464</v>
      </c>
    </row>
    <row r="14" spans="1:100" ht="12.75" customHeight="1" x14ac:dyDescent="0.2">
      <c r="B14" s="1" t="s">
        <v>4</v>
      </c>
      <c r="E14" s="32"/>
      <c r="F14" s="27">
        <v>150.529032</v>
      </c>
      <c r="G14" s="32">
        <f>V14</f>
        <v>150</v>
      </c>
      <c r="H14" s="27">
        <v>150.700785</v>
      </c>
      <c r="I14" s="32">
        <f>W14</f>
        <v>153.40163899999999</v>
      </c>
      <c r="J14" s="27">
        <v>158.57798500000001</v>
      </c>
      <c r="K14" s="32">
        <f>X14</f>
        <v>164.60779099999999</v>
      </c>
      <c r="L14" s="27">
        <v>170.828776</v>
      </c>
      <c r="M14" s="32">
        <f>Y14</f>
        <v>170.949286</v>
      </c>
      <c r="N14" s="27">
        <v>171.22236899999999</v>
      </c>
      <c r="O14" s="32">
        <f>+Z14</f>
        <v>171.46803399999999</v>
      </c>
      <c r="P14" s="200">
        <v>172.98253099999999</v>
      </c>
      <c r="S14" s="27">
        <v>105.84317</v>
      </c>
      <c r="T14" s="1">
        <v>150</v>
      </c>
      <c r="U14" s="1">
        <v>150</v>
      </c>
      <c r="V14" s="1">
        <v>150</v>
      </c>
      <c r="W14" s="27">
        <v>153.40163899999999</v>
      </c>
      <c r="X14" s="27">
        <v>164.60779099999999</v>
      </c>
      <c r="Y14" s="27">
        <v>170.949286</v>
      </c>
      <c r="Z14" s="27">
        <v>171.46803399999999</v>
      </c>
      <c r="AA14" s="134">
        <f>+Z14</f>
        <v>171.46803399999999</v>
      </c>
      <c r="AB14" s="27">
        <f>AA14</f>
        <v>171.46803399999999</v>
      </c>
      <c r="AC14" s="27">
        <f t="shared" ref="AC14:AP14" si="24">AB14</f>
        <v>171.46803399999999</v>
      </c>
      <c r="AD14" s="27">
        <f t="shared" si="24"/>
        <v>171.46803399999999</v>
      </c>
      <c r="AE14" s="27">
        <f t="shared" si="24"/>
        <v>171.46803399999999</v>
      </c>
      <c r="AF14" s="27">
        <f t="shared" si="24"/>
        <v>171.46803399999999</v>
      </c>
      <c r="AG14" s="27">
        <f t="shared" si="24"/>
        <v>171.46803399999999</v>
      </c>
      <c r="AH14" s="27">
        <f t="shared" si="24"/>
        <v>171.46803399999999</v>
      </c>
      <c r="AI14" s="27">
        <f t="shared" si="24"/>
        <v>171.46803399999999</v>
      </c>
      <c r="AJ14" s="27">
        <f t="shared" si="24"/>
        <v>171.46803399999999</v>
      </c>
      <c r="AK14" s="27">
        <f t="shared" si="24"/>
        <v>171.46803399999999</v>
      </c>
      <c r="AL14" s="27">
        <f t="shared" si="24"/>
        <v>171.46803399999999</v>
      </c>
      <c r="AM14" s="27">
        <f t="shared" si="24"/>
        <v>171.46803399999999</v>
      </c>
      <c r="AN14" s="27">
        <f t="shared" si="24"/>
        <v>171.46803399999999</v>
      </c>
      <c r="AO14" s="27">
        <f t="shared" si="24"/>
        <v>171.46803399999999</v>
      </c>
      <c r="AP14" s="27">
        <f t="shared" si="24"/>
        <v>171.46803399999999</v>
      </c>
    </row>
    <row r="15" spans="1:100" ht="12.75" customHeight="1" x14ac:dyDescent="0.25">
      <c r="AR15" s="45" t="s">
        <v>87</v>
      </c>
      <c r="AS15" s="62">
        <v>-0.02</v>
      </c>
    </row>
    <row r="16" spans="1:100" ht="12.75" customHeight="1" x14ac:dyDescent="0.25">
      <c r="B16" s="1" t="s">
        <v>43</v>
      </c>
      <c r="E16" s="34"/>
      <c r="F16" s="23">
        <f t="shared" ref="F16:L16" si="25">F5/F3</f>
        <v>0.85857590685176888</v>
      </c>
      <c r="G16" s="34">
        <f t="shared" si="25"/>
        <v>0.8558438255118912</v>
      </c>
      <c r="H16" s="23">
        <f t="shared" si="25"/>
        <v>0.85590062111801246</v>
      </c>
      <c r="I16" s="34">
        <f t="shared" si="25"/>
        <v>0.84701747534901894</v>
      </c>
      <c r="J16" s="23">
        <f t="shared" si="25"/>
        <v>0.88574714847119718</v>
      </c>
      <c r="K16" s="34">
        <f t="shared" si="25"/>
        <v>0.85246968833916514</v>
      </c>
      <c r="L16" s="23">
        <f t="shared" si="25"/>
        <v>0.86382558174358359</v>
      </c>
      <c r="M16" s="34">
        <f t="shared" ref="M16:N16" si="26">M5/M3</f>
        <v>0.83166253419972636</v>
      </c>
      <c r="N16" s="23">
        <f t="shared" si="26"/>
        <v>0.82760876676480211</v>
      </c>
      <c r="O16" s="34">
        <f t="shared" ref="O16:P16" si="27">O5/O3</f>
        <v>0.43600875940207556</v>
      </c>
      <c r="P16" s="23">
        <f t="shared" si="27"/>
        <v>0.64682389857954314</v>
      </c>
      <c r="S16" s="23">
        <f t="shared" ref="S16:T16" si="28">S5/S3</f>
        <v>0.85328664255794195</v>
      </c>
      <c r="T16" s="23">
        <f t="shared" si="28"/>
        <v>0.86532184472834472</v>
      </c>
      <c r="U16" s="23">
        <f t="shared" ref="U16:V16" si="29">U5/U3</f>
        <v>0.8610677904237316</v>
      </c>
      <c r="V16" s="23">
        <f t="shared" si="29"/>
        <v>0.85725283692857257</v>
      </c>
      <c r="W16" s="23">
        <f>W5/W3</f>
        <v>0.85475570319479577</v>
      </c>
      <c r="X16" s="23">
        <f>X5/X3</f>
        <v>0.85729986922284984</v>
      </c>
      <c r="Y16" s="23">
        <f t="shared" ref="Y16:Z16" si="30">Y5/Y3</f>
        <v>0.84829230777171583</v>
      </c>
      <c r="Z16" s="23">
        <f t="shared" si="30"/>
        <v>0.6363805432346733</v>
      </c>
      <c r="AA16" s="135">
        <f>AA5/AA3</f>
        <v>0.84000000000000008</v>
      </c>
      <c r="AB16" s="23">
        <f t="shared" ref="AB16:AP16" si="31">AB5/AB3</f>
        <v>0.86</v>
      </c>
      <c r="AC16" s="23">
        <f t="shared" si="31"/>
        <v>0.8600000000000001</v>
      </c>
      <c r="AD16" s="23">
        <f t="shared" si="31"/>
        <v>0.86</v>
      </c>
      <c r="AE16" s="23">
        <f t="shared" si="31"/>
        <v>0.86</v>
      </c>
      <c r="AF16" s="23">
        <f t="shared" si="31"/>
        <v>0.86</v>
      </c>
      <c r="AG16" s="23">
        <f t="shared" si="31"/>
        <v>0.86</v>
      </c>
      <c r="AH16" s="23">
        <f t="shared" si="31"/>
        <v>0.86</v>
      </c>
      <c r="AI16" s="23">
        <f t="shared" si="31"/>
        <v>0.86</v>
      </c>
      <c r="AJ16" s="23">
        <f t="shared" si="31"/>
        <v>0.86</v>
      </c>
      <c r="AK16" s="23">
        <f t="shared" si="31"/>
        <v>0.86</v>
      </c>
      <c r="AL16" s="23">
        <f t="shared" si="31"/>
        <v>0.86</v>
      </c>
      <c r="AM16" s="23">
        <f t="shared" si="31"/>
        <v>0.85999999999999988</v>
      </c>
      <c r="AN16" s="23">
        <f t="shared" si="31"/>
        <v>0.86</v>
      </c>
      <c r="AO16" s="23">
        <f t="shared" si="31"/>
        <v>0.85999999999999988</v>
      </c>
      <c r="AP16" s="23">
        <f t="shared" si="31"/>
        <v>0.85999999999999988</v>
      </c>
      <c r="AR16" s="46" t="s">
        <v>88</v>
      </c>
      <c r="AS16" s="63">
        <v>7.0000000000000007E-2</v>
      </c>
    </row>
    <row r="17" spans="1:46" ht="12.75" customHeight="1" x14ac:dyDescent="0.25">
      <c r="B17" s="1" t="s">
        <v>44</v>
      </c>
      <c r="E17" s="34"/>
      <c r="F17" s="23">
        <f t="shared" ref="F17:L17" si="32">F8/F3</f>
        <v>0.25023137781758459</v>
      </c>
      <c r="G17" s="34">
        <f t="shared" si="32"/>
        <v>0.18569566323286293</v>
      </c>
      <c r="H17" s="23">
        <f t="shared" si="32"/>
        <v>0.27698974433049256</v>
      </c>
      <c r="I17" s="34">
        <f t="shared" si="32"/>
        <v>-0.90940154251684147</v>
      </c>
      <c r="J17" s="23">
        <f t="shared" si="32"/>
        <v>-0.96060577015240112</v>
      </c>
      <c r="K17" s="34">
        <f t="shared" si="32"/>
        <v>0.31901700707950204</v>
      </c>
      <c r="L17" s="23">
        <f t="shared" si="32"/>
        <v>0.37551036706497759</v>
      </c>
      <c r="M17" s="34">
        <f t="shared" ref="M17:N17" si="33">M8/M3</f>
        <v>0.19058866279069778</v>
      </c>
      <c r="N17" s="23">
        <f t="shared" si="33"/>
        <v>0.29209828081270683</v>
      </c>
      <c r="O17" s="34">
        <f t="shared" ref="O17:P17" si="34">O8/O3</f>
        <v>0.20888317623536121</v>
      </c>
      <c r="P17" s="23">
        <f t="shared" si="34"/>
        <v>0.28835359561025953</v>
      </c>
      <c r="S17" s="23">
        <f t="shared" ref="S17:T17" si="35">S8/S3</f>
        <v>0.13719072927301687</v>
      </c>
      <c r="T17" s="23">
        <f t="shared" si="35"/>
        <v>0.19480029481959843</v>
      </c>
      <c r="U17" s="23">
        <f t="shared" ref="U17:V17" si="36">U8/U3</f>
        <v>0.20649036068619966</v>
      </c>
      <c r="V17" s="23">
        <f t="shared" si="36"/>
        <v>0.2189785517421898</v>
      </c>
      <c r="W17" s="23">
        <f>W8/W3</f>
        <v>0.12407987618436456</v>
      </c>
      <c r="X17" s="23">
        <f>X8/X3</f>
        <v>0.13328139347227252</v>
      </c>
      <c r="Y17" s="23">
        <f t="shared" ref="Y17:AP17" si="37">Y8/Y3</f>
        <v>0.28620168162650139</v>
      </c>
      <c r="Z17" s="23">
        <f t="shared" ref="Z17" si="38">Z8/Z3</f>
        <v>0.25146223300880594</v>
      </c>
      <c r="AA17" s="135">
        <f>AA8/AA3</f>
        <v>0.31680996246057758</v>
      </c>
      <c r="AB17" s="23">
        <f t="shared" si="37"/>
        <v>0.31972061768197663</v>
      </c>
      <c r="AC17" s="23">
        <f t="shared" si="37"/>
        <v>0.31913751623426984</v>
      </c>
      <c r="AD17" s="23">
        <f t="shared" si="37"/>
        <v>0.31904558728497412</v>
      </c>
      <c r="AE17" s="23">
        <f t="shared" si="37"/>
        <v>0.31901699254586874</v>
      </c>
      <c r="AF17" s="23">
        <f t="shared" si="37"/>
        <v>0.31902524499582702</v>
      </c>
      <c r="AG17" s="23">
        <f t="shared" si="37"/>
        <v>0.31903358080386574</v>
      </c>
      <c r="AH17" s="23">
        <f t="shared" si="37"/>
        <v>0.31853134931929028</v>
      </c>
      <c r="AI17" s="23">
        <f t="shared" si="37"/>
        <v>0.31858664915920454</v>
      </c>
      <c r="AJ17" s="23">
        <f t="shared" si="37"/>
        <v>0.31872315215262864</v>
      </c>
      <c r="AK17" s="23">
        <f t="shared" si="37"/>
        <v>0.31869890051397659</v>
      </c>
      <c r="AL17" s="23">
        <f t="shared" si="37"/>
        <v>0.31869360508372963</v>
      </c>
      <c r="AM17" s="23">
        <f t="shared" si="37"/>
        <v>0.31868430243738827</v>
      </c>
      <c r="AN17" s="23">
        <f t="shared" si="37"/>
        <v>0.31866867242209507</v>
      </c>
      <c r="AO17" s="23">
        <f t="shared" si="37"/>
        <v>0.31864558404074694</v>
      </c>
      <c r="AP17" s="23">
        <f t="shared" si="37"/>
        <v>0.3186137470254885</v>
      </c>
      <c r="AR17" s="46" t="s">
        <v>89</v>
      </c>
      <c r="AS17" s="64">
        <f>NPV(AS16,AB12:CV12)</f>
        <v>1856.1599751389613</v>
      </c>
    </row>
    <row r="18" spans="1:46" ht="12.75" customHeight="1" x14ac:dyDescent="0.25">
      <c r="A18" s="3"/>
      <c r="B18" s="1" t="s">
        <v>45</v>
      </c>
      <c r="E18" s="34"/>
      <c r="F18" s="23">
        <f t="shared" ref="F18:L18" si="39">F12/F3</f>
        <v>0.19965666517390643</v>
      </c>
      <c r="G18" s="34">
        <f t="shared" si="39"/>
        <v>0.14164441053033205</v>
      </c>
      <c r="H18" s="23">
        <f t="shared" si="39"/>
        <v>0.16640184890943235</v>
      </c>
      <c r="I18" s="34">
        <f t="shared" si="39"/>
        <v>-0.98945621399980577</v>
      </c>
      <c r="J18" s="23">
        <f t="shared" si="39"/>
        <v>-1.1150196491900701</v>
      </c>
      <c r="K18" s="34">
        <f t="shared" si="39"/>
        <v>0.21744649686711701</v>
      </c>
      <c r="L18" s="23">
        <f t="shared" si="39"/>
        <v>0.26978327493436355</v>
      </c>
      <c r="M18" s="34">
        <f t="shared" ref="M18:N18" si="40">M12/M3</f>
        <v>0.11142698358413144</v>
      </c>
      <c r="N18" s="23">
        <f t="shared" si="40"/>
        <v>0.1991785701304839</v>
      </c>
      <c r="O18" s="34">
        <f t="shared" ref="O18:P18" si="41">O12/O3</f>
        <v>0.1164524421593829</v>
      </c>
      <c r="P18" s="23">
        <f t="shared" si="41"/>
        <v>0.18413920981315079</v>
      </c>
      <c r="S18" s="23">
        <f t="shared" ref="S18:T18" si="42">S12/S3</f>
        <v>1.1326011659971446E-2</v>
      </c>
      <c r="T18" s="23">
        <f t="shared" si="42"/>
        <v>0.15927277832373993</v>
      </c>
      <c r="U18" s="23">
        <f t="shared" ref="U18:V18" si="43">U12/U3</f>
        <v>0.15582174735375118</v>
      </c>
      <c r="V18" s="23">
        <f t="shared" si="43"/>
        <v>0.17156296672671562</v>
      </c>
      <c r="W18" s="23">
        <f>W12/W3</f>
        <v>1.7427302354258722E-2</v>
      </c>
      <c r="X18" s="23">
        <f>X12/X3</f>
        <v>2.4040735691032097E-2</v>
      </c>
      <c r="Y18" s="23">
        <f t="shared" ref="Y18:AA18" si="44">Y12/Y3</f>
        <v>0.19330446317506367</v>
      </c>
      <c r="Z18" s="23">
        <f t="shared" ref="Z18" si="45">Z12/Z3</f>
        <v>0.15878130201504537</v>
      </c>
      <c r="AA18" s="42">
        <f t="shared" si="44"/>
        <v>0.2832476248413448</v>
      </c>
      <c r="AB18" s="23">
        <f t="shared" ref="AB18:AP18" si="46">AB12/AB3</f>
        <v>0.24732636980436912</v>
      </c>
      <c r="AC18" s="23">
        <f t="shared" si="46"/>
        <v>0.24584004605329873</v>
      </c>
      <c r="AD18" s="23">
        <f t="shared" si="46"/>
        <v>0.24532133350807039</v>
      </c>
      <c r="AE18" s="23">
        <f t="shared" si="46"/>
        <v>0.24483217357751796</v>
      </c>
      <c r="AF18" s="23">
        <f t="shared" si="46"/>
        <v>0.24418293849769063</v>
      </c>
      <c r="AG18" s="23">
        <f t="shared" si="46"/>
        <v>0.243738810065771</v>
      </c>
      <c r="AH18" s="23">
        <f t="shared" si="46"/>
        <v>0.24284152510262372</v>
      </c>
      <c r="AI18" s="23">
        <f t="shared" si="46"/>
        <v>0.24217406110448467</v>
      </c>
      <c r="AJ18" s="23">
        <f t="shared" si="46"/>
        <v>0.24166651454274929</v>
      </c>
      <c r="AK18" s="23">
        <f t="shared" si="46"/>
        <v>0.24071079468404435</v>
      </c>
      <c r="AL18" s="23">
        <f t="shared" si="46"/>
        <v>0.23981207620077299</v>
      </c>
      <c r="AM18" s="23">
        <f t="shared" si="46"/>
        <v>0.23895070769391963</v>
      </c>
      <c r="AN18" s="23">
        <f t="shared" si="46"/>
        <v>0.2381235865189805</v>
      </c>
      <c r="AO18" s="23">
        <f t="shared" si="46"/>
        <v>0.23732859464691131</v>
      </c>
      <c r="AP18" s="23">
        <f t="shared" si="46"/>
        <v>0.23656351909664572</v>
      </c>
      <c r="AR18" s="46" t="s">
        <v>8</v>
      </c>
      <c r="AS18" s="64">
        <f>Main!C11</f>
        <v>41.404000000000003</v>
      </c>
    </row>
    <row r="19" spans="1:46" ht="12.75" customHeight="1" x14ac:dyDescent="0.25">
      <c r="B19" s="1" t="s">
        <v>137</v>
      </c>
      <c r="E19" s="34"/>
      <c r="F19" s="23">
        <f t="shared" ref="F19:L19" si="47">F11/F10</f>
        <v>0.1837046078730547</v>
      </c>
      <c r="G19" s="34">
        <f t="shared" si="47"/>
        <v>0.20467731857538143</v>
      </c>
      <c r="H19" s="23">
        <f t="shared" si="47"/>
        <v>0.20376002211777711</v>
      </c>
      <c r="I19" s="34">
        <f t="shared" si="47"/>
        <v>0.23636226642555747</v>
      </c>
      <c r="J19" s="23">
        <f t="shared" si="47"/>
        <v>0.19711505279867483</v>
      </c>
      <c r="K19" s="34">
        <f t="shared" si="47"/>
        <v>0.10634740151160453</v>
      </c>
      <c r="L19" s="23">
        <f t="shared" si="47"/>
        <v>0.19176361515686216</v>
      </c>
      <c r="M19" s="34">
        <f t="shared" ref="M19:N19" si="48">M11/M10</f>
        <v>0.21182340489869955</v>
      </c>
      <c r="N19" s="23">
        <f t="shared" si="48"/>
        <v>0.20834988623641146</v>
      </c>
      <c r="O19" s="34">
        <f t="shared" ref="O19:P19" si="49">O11/O10</f>
        <v>0.29670519234086623</v>
      </c>
      <c r="P19" s="23">
        <f t="shared" si="49"/>
        <v>0.25673936602546737</v>
      </c>
      <c r="S19" s="23">
        <f>S11/S10</f>
        <v>0.53885003885004146</v>
      </c>
      <c r="T19" s="23">
        <f t="shared" ref="T19:X19" si="50">T11/T10</f>
        <v>0.13561904761904767</v>
      </c>
      <c r="U19" s="23">
        <f t="shared" si="50"/>
        <v>0.21517506476142731</v>
      </c>
      <c r="V19" s="23">
        <f t="shared" si="50"/>
        <v>0.1922212556183848</v>
      </c>
      <c r="W19" s="23">
        <f t="shared" si="50"/>
        <v>-0.15802675585284237</v>
      </c>
      <c r="X19" s="23">
        <f t="shared" si="50"/>
        <v>-2.7402597402597104</v>
      </c>
      <c r="Y19" s="23">
        <f t="shared" ref="Y19:Z19" si="51">Y11/Y10</f>
        <v>0.19744990892531872</v>
      </c>
      <c r="Z19" s="23">
        <f t="shared" si="51"/>
        <v>0.24243566992014201</v>
      </c>
      <c r="AA19" s="135">
        <v>0.2</v>
      </c>
      <c r="AB19" s="23">
        <f>AA19</f>
        <v>0.2</v>
      </c>
      <c r="AC19" s="23">
        <f t="shared" ref="AC19:AP19" si="52">AB19</f>
        <v>0.2</v>
      </c>
      <c r="AD19" s="23">
        <f t="shared" si="52"/>
        <v>0.2</v>
      </c>
      <c r="AE19" s="23">
        <f t="shared" si="52"/>
        <v>0.2</v>
      </c>
      <c r="AF19" s="23">
        <f t="shared" si="52"/>
        <v>0.2</v>
      </c>
      <c r="AG19" s="23">
        <f t="shared" si="52"/>
        <v>0.2</v>
      </c>
      <c r="AH19" s="23">
        <f t="shared" si="52"/>
        <v>0.2</v>
      </c>
      <c r="AI19" s="23">
        <f t="shared" si="52"/>
        <v>0.2</v>
      </c>
      <c r="AJ19" s="23">
        <f t="shared" si="52"/>
        <v>0.2</v>
      </c>
      <c r="AK19" s="23">
        <f t="shared" si="52"/>
        <v>0.2</v>
      </c>
      <c r="AL19" s="23">
        <f t="shared" si="52"/>
        <v>0.2</v>
      </c>
      <c r="AM19" s="23">
        <f t="shared" si="52"/>
        <v>0.2</v>
      </c>
      <c r="AN19" s="23">
        <f t="shared" si="52"/>
        <v>0.2</v>
      </c>
      <c r="AO19" s="23">
        <f t="shared" si="52"/>
        <v>0.2</v>
      </c>
      <c r="AP19" s="23">
        <f t="shared" si="52"/>
        <v>0.2</v>
      </c>
      <c r="AR19" s="46" t="s">
        <v>90</v>
      </c>
      <c r="AS19" s="64">
        <f>AS17+AS18</f>
        <v>1897.5639751389613</v>
      </c>
    </row>
    <row r="20" spans="1:46" ht="12.75" customHeight="1" x14ac:dyDescent="0.25">
      <c r="AR20" s="47" t="s">
        <v>91</v>
      </c>
      <c r="AS20" s="65">
        <f>AS19/Main!C7</f>
        <v>10.969685575585441</v>
      </c>
    </row>
    <row r="21" spans="1:46" ht="12.75" customHeight="1" x14ac:dyDescent="0.25">
      <c r="B21" s="1" t="s">
        <v>46</v>
      </c>
      <c r="E21" s="37"/>
      <c r="F21" s="38" t="s">
        <v>71</v>
      </c>
      <c r="G21" s="37" t="s">
        <v>71</v>
      </c>
      <c r="H21" s="23">
        <f t="shared" ref="H21:P21" si="53">H3/F3-1</f>
        <v>3.3437826541274918E-2</v>
      </c>
      <c r="I21" s="34">
        <f t="shared" si="53"/>
        <v>-0.8371645682309552</v>
      </c>
      <c r="J21" s="23">
        <f t="shared" si="53"/>
        <v>-0.84929943666040741</v>
      </c>
      <c r="K21" s="34">
        <f t="shared" si="53"/>
        <v>4.9987308405740531</v>
      </c>
      <c r="L21" s="23">
        <f t="shared" si="53"/>
        <v>8.6015527652640671</v>
      </c>
      <c r="M21" s="34">
        <f t="shared" si="53"/>
        <v>0.5227927414761171</v>
      </c>
      <c r="N21" s="23">
        <f t="shared" si="53"/>
        <v>9.8619388457967805E-2</v>
      </c>
      <c r="O21" s="34">
        <f t="shared" si="53"/>
        <v>0.12249914500683956</v>
      </c>
      <c r="P21" s="23">
        <f t="shared" si="53"/>
        <v>8.3006215243702997E-2</v>
      </c>
      <c r="S21" s="38" t="s">
        <v>71</v>
      </c>
      <c r="T21" s="23">
        <f t="shared" ref="T21:W21" si="54">T3/S3-1</f>
        <v>8.744978674274595E-2</v>
      </c>
      <c r="U21" s="23">
        <f t="shared" si="54"/>
        <v>5.7735504703074536E-2</v>
      </c>
      <c r="V21" s="23">
        <f t="shared" si="54"/>
        <v>7.7529282941235067E-2</v>
      </c>
      <c r="W21" s="23">
        <f t="shared" si="54"/>
        <v>-0.38817035428888169</v>
      </c>
      <c r="X21" s="23">
        <f>X3/W3-1</f>
        <v>-9.5567047928227233E-2</v>
      </c>
      <c r="Y21" s="23">
        <f t="shared" ref="Y21" si="55">Y3/X3-1</f>
        <v>1.6954144522663404</v>
      </c>
      <c r="Z21" s="23">
        <f t="shared" ref="Z21" si="56">Z3/Y3-1</f>
        <v>0.11015221352217641</v>
      </c>
      <c r="AA21" s="135">
        <v>0.11</v>
      </c>
      <c r="AB21" s="23">
        <v>0.15</v>
      </c>
      <c r="AC21" s="23">
        <v>0.2</v>
      </c>
      <c r="AD21" s="23">
        <v>0.2</v>
      </c>
      <c r="AE21" s="23">
        <v>0.15</v>
      </c>
      <c r="AF21" s="23">
        <v>0.1</v>
      </c>
      <c r="AG21" s="23">
        <v>0.1</v>
      </c>
      <c r="AH21" s="23">
        <v>0.08</v>
      </c>
      <c r="AI21" s="23">
        <v>0.05</v>
      </c>
      <c r="AJ21" s="23">
        <v>0.05</v>
      </c>
      <c r="AK21" s="23">
        <v>0.02</v>
      </c>
      <c r="AL21" s="23">
        <v>0.02</v>
      </c>
      <c r="AM21" s="23">
        <v>0.02</v>
      </c>
      <c r="AN21" s="23">
        <v>0.02</v>
      </c>
      <c r="AO21" s="23">
        <v>0.02</v>
      </c>
      <c r="AP21" s="23">
        <v>0.02</v>
      </c>
      <c r="AR21" s="46" t="s">
        <v>92</v>
      </c>
      <c r="AS21" s="66">
        <f>Main!C6</f>
        <v>3.2050000000000001</v>
      </c>
      <c r="AT21" s="49"/>
    </row>
    <row r="22" spans="1:46" ht="12.75" customHeight="1" x14ac:dyDescent="0.25">
      <c r="B22" s="1" t="s">
        <v>47</v>
      </c>
      <c r="E22" s="34"/>
      <c r="F22" s="38" t="s">
        <v>71</v>
      </c>
      <c r="G22" s="34">
        <f t="shared" ref="G22" si="57">G3/F3-1</f>
        <v>-6.0994178235557306E-2</v>
      </c>
      <c r="H22" s="23">
        <f t="shared" ref="H22:P22" si="58">H3/G3-1</f>
        <v>0.10056594175251155</v>
      </c>
      <c r="I22" s="34">
        <f t="shared" si="58"/>
        <v>-0.85204391159901782</v>
      </c>
      <c r="J22" s="23">
        <f t="shared" si="58"/>
        <v>1.8549253148492095E-2</v>
      </c>
      <c r="K22" s="34">
        <f t="shared" si="58"/>
        <v>4.8894852870698742</v>
      </c>
      <c r="L22" s="23">
        <f t="shared" si="58"/>
        <v>0.63028724875905273</v>
      </c>
      <c r="M22" s="34">
        <f t="shared" si="58"/>
        <v>-6.5935930839647328E-2</v>
      </c>
      <c r="N22" s="23">
        <f t="shared" si="58"/>
        <v>0.17617134062927486</v>
      </c>
      <c r="O22" s="34">
        <f t="shared" si="58"/>
        <v>-4.563297350343487E-2</v>
      </c>
      <c r="P22" s="23">
        <f t="shared" si="58"/>
        <v>0.1347900599828622</v>
      </c>
      <c r="S22" s="38" t="s">
        <v>71</v>
      </c>
      <c r="T22" s="38" t="s">
        <v>71</v>
      </c>
      <c r="U22" s="38" t="s">
        <v>71</v>
      </c>
      <c r="V22" s="38" t="s">
        <v>71</v>
      </c>
      <c r="W22" s="38" t="s">
        <v>71</v>
      </c>
      <c r="X22" s="38" t="s">
        <v>71</v>
      </c>
      <c r="Y22" s="38" t="s">
        <v>71</v>
      </c>
      <c r="Z22" s="38" t="s">
        <v>71</v>
      </c>
      <c r="AA22" s="136"/>
      <c r="AB22" s="38" t="s">
        <v>71</v>
      </c>
      <c r="AC22" s="38" t="s">
        <v>71</v>
      </c>
      <c r="AD22" s="38" t="s">
        <v>71</v>
      </c>
      <c r="AE22" s="38" t="s">
        <v>71</v>
      </c>
      <c r="AF22" s="38" t="s">
        <v>71</v>
      </c>
      <c r="AG22" s="38" t="s">
        <v>71</v>
      </c>
      <c r="AH22" s="38" t="s">
        <v>71</v>
      </c>
      <c r="AI22" s="38" t="s">
        <v>71</v>
      </c>
      <c r="AJ22" s="38" t="s">
        <v>71</v>
      </c>
      <c r="AK22" s="38" t="s">
        <v>71</v>
      </c>
      <c r="AL22" s="38" t="s">
        <v>71</v>
      </c>
      <c r="AM22" s="38" t="s">
        <v>71</v>
      </c>
      <c r="AN22" s="38" t="s">
        <v>71</v>
      </c>
      <c r="AO22" s="38" t="s">
        <v>71</v>
      </c>
      <c r="AP22" s="38" t="s">
        <v>71</v>
      </c>
      <c r="AR22" s="46" t="s">
        <v>93</v>
      </c>
      <c r="AS22" s="166">
        <f>AS20/AS21-1</f>
        <v>2.4226788067349267</v>
      </c>
    </row>
    <row r="23" spans="1:46" ht="12.75" customHeight="1" x14ac:dyDescent="0.25">
      <c r="E23" s="34"/>
      <c r="F23" s="38"/>
      <c r="G23" s="34"/>
      <c r="H23" s="23"/>
      <c r="I23" s="34"/>
      <c r="J23" s="23"/>
      <c r="K23" s="34"/>
      <c r="L23" s="23"/>
      <c r="M23" s="34"/>
      <c r="U23" s="38"/>
      <c r="V23" s="38"/>
      <c r="W23" s="38"/>
      <c r="X23" s="38"/>
      <c r="Y23" s="38"/>
      <c r="Z23" s="38"/>
      <c r="AA23" s="136"/>
      <c r="AB23" s="38"/>
      <c r="AC23" s="38"/>
      <c r="AD23" s="38"/>
      <c r="AE23" s="38"/>
      <c r="AF23" s="38"/>
      <c r="AG23" s="38"/>
      <c r="AH23" s="38"/>
      <c r="AI23" s="38"/>
      <c r="AJ23" s="38"/>
      <c r="AK23" s="38"/>
      <c r="AL23" s="38"/>
      <c r="AM23" s="38"/>
      <c r="AN23" s="38"/>
      <c r="AO23" s="38"/>
      <c r="AR23" s="48" t="s">
        <v>157</v>
      </c>
      <c r="AS23" s="165">
        <f>+AS20*Main!C7</f>
        <v>1897.5639751389613</v>
      </c>
    </row>
    <row r="24" spans="1:46" ht="12.75" customHeight="1" x14ac:dyDescent="0.2">
      <c r="B24" s="29" t="s">
        <v>144</v>
      </c>
      <c r="E24" s="34"/>
      <c r="F24" s="38"/>
      <c r="G24" s="34"/>
      <c r="H24" s="23"/>
      <c r="I24" s="34"/>
      <c r="J24" s="23"/>
      <c r="K24" s="34"/>
      <c r="L24" s="23"/>
      <c r="M24" s="34"/>
      <c r="U24" s="38"/>
      <c r="V24" s="38"/>
      <c r="W24" s="38"/>
      <c r="X24" s="38"/>
      <c r="Y24" s="38"/>
      <c r="Z24" s="38"/>
      <c r="AA24" s="136"/>
      <c r="AB24" s="38"/>
      <c r="AC24" s="38"/>
      <c r="AD24" s="38"/>
      <c r="AE24" s="38"/>
      <c r="AF24" s="38"/>
      <c r="AG24" s="38"/>
      <c r="AH24" s="38"/>
      <c r="AI24" s="38"/>
      <c r="AJ24" s="38"/>
      <c r="AK24" s="38"/>
      <c r="AL24" s="38"/>
      <c r="AM24" s="38"/>
      <c r="AN24" s="38"/>
      <c r="AO24" s="38"/>
    </row>
    <row r="25" spans="1:46" s="3" customFormat="1" ht="12.75" customHeight="1" x14ac:dyDescent="0.2">
      <c r="B25" s="3" t="s">
        <v>110</v>
      </c>
      <c r="E25" s="53"/>
      <c r="F25" s="10"/>
      <c r="G25" s="53"/>
      <c r="H25" s="54"/>
      <c r="I25" s="53"/>
      <c r="J25" s="54"/>
      <c r="K25" s="53"/>
      <c r="L25" s="54"/>
      <c r="M25" s="53"/>
      <c r="N25" s="3">
        <v>69</v>
      </c>
      <c r="O25" s="61">
        <f>+Z25</f>
        <v>71</v>
      </c>
      <c r="P25" s="188">
        <v>71</v>
      </c>
      <c r="Q25" s="153"/>
      <c r="S25" s="3">
        <v>54</v>
      </c>
      <c r="T25" s="3">
        <v>58</v>
      </c>
      <c r="U25" s="10"/>
      <c r="V25" s="10">
        <f>SUM(V26:V28)</f>
        <v>60</v>
      </c>
      <c r="W25" s="10"/>
      <c r="X25" s="10">
        <f>SUM(X26:X28)</f>
        <v>64</v>
      </c>
      <c r="Y25" s="10">
        <f>SUM(Y26:Y28)</f>
        <v>67</v>
      </c>
      <c r="Z25" s="10">
        <f>SUM(Z26:Z28)</f>
        <v>71</v>
      </c>
      <c r="AA25" s="13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"/>
      <c r="AQ25" s="1"/>
      <c r="AR25" s="1"/>
      <c r="AS25" s="1"/>
      <c r="AT25" s="1"/>
    </row>
    <row r="26" spans="1:46" ht="12.75" customHeight="1" x14ac:dyDescent="0.2">
      <c r="B26" s="51" t="s">
        <v>97</v>
      </c>
      <c r="E26" s="34"/>
      <c r="F26" s="38"/>
      <c r="G26" s="34"/>
      <c r="H26" s="23"/>
      <c r="I26" s="34"/>
      <c r="J26" s="23"/>
      <c r="K26" s="34"/>
      <c r="L26" s="23"/>
      <c r="M26" s="34"/>
      <c r="O26" s="25">
        <f>+Z26</f>
        <v>62</v>
      </c>
      <c r="U26" s="38"/>
      <c r="V26" s="38">
        <v>54</v>
      </c>
      <c r="W26" s="38"/>
      <c r="X26" s="38">
        <v>56</v>
      </c>
      <c r="Y26" s="38">
        <v>59</v>
      </c>
      <c r="Z26" s="38">
        <v>62</v>
      </c>
      <c r="AA26" s="136"/>
      <c r="AB26" s="38"/>
      <c r="AC26" s="38"/>
      <c r="AD26" s="38"/>
      <c r="AE26" s="38"/>
      <c r="AF26" s="38"/>
      <c r="AG26" s="38"/>
      <c r="AH26" s="38"/>
      <c r="AI26" s="38"/>
      <c r="AJ26" s="38"/>
      <c r="AK26" s="38"/>
      <c r="AL26" s="38"/>
      <c r="AM26" s="38"/>
      <c r="AN26" s="38"/>
      <c r="AO26" s="38"/>
    </row>
    <row r="27" spans="1:46" ht="12.75" customHeight="1" x14ac:dyDescent="0.2">
      <c r="B27" s="51" t="s">
        <v>98</v>
      </c>
      <c r="O27" s="25">
        <f>+Z27</f>
        <v>3</v>
      </c>
      <c r="V27" s="1">
        <v>6</v>
      </c>
      <c r="X27" s="1">
        <v>5</v>
      </c>
      <c r="Y27" s="1">
        <v>3</v>
      </c>
      <c r="Z27" s="1">
        <v>3</v>
      </c>
    </row>
    <row r="28" spans="1:46" ht="12.75" customHeight="1" x14ac:dyDescent="0.2">
      <c r="B28" s="51" t="s">
        <v>99</v>
      </c>
      <c r="C28" s="55"/>
      <c r="D28" s="55"/>
      <c r="E28" s="56"/>
      <c r="F28" s="55"/>
      <c r="G28" s="56"/>
      <c r="H28" s="55"/>
      <c r="I28" s="56"/>
      <c r="J28" s="55"/>
      <c r="K28" s="56"/>
      <c r="L28" s="55"/>
      <c r="M28" s="56"/>
      <c r="N28" s="55"/>
      <c r="O28" s="25">
        <f>+Z28</f>
        <v>6</v>
      </c>
      <c r="P28" s="190"/>
      <c r="Q28" s="156"/>
      <c r="R28" s="55"/>
      <c r="S28" s="55"/>
      <c r="T28" s="55"/>
      <c r="U28" s="52"/>
      <c r="V28" s="52">
        <v>0</v>
      </c>
      <c r="W28" s="52"/>
      <c r="X28" s="52">
        <v>3</v>
      </c>
      <c r="Y28" s="52">
        <v>5</v>
      </c>
      <c r="Z28" s="52">
        <v>6</v>
      </c>
      <c r="AA28" s="137"/>
      <c r="AB28" s="55"/>
      <c r="AC28" s="55"/>
      <c r="AD28" s="55"/>
      <c r="AE28" s="55"/>
      <c r="AF28" s="55"/>
      <c r="AG28" s="55"/>
      <c r="AH28" s="55"/>
    </row>
    <row r="29" spans="1:46" s="71" customFormat="1" ht="12.75" customHeight="1" x14ac:dyDescent="0.2">
      <c r="B29" s="72" t="s">
        <v>117</v>
      </c>
      <c r="C29" s="73"/>
      <c r="D29" s="73"/>
      <c r="E29" s="74"/>
      <c r="F29" s="73"/>
      <c r="G29" s="74"/>
      <c r="H29" s="73"/>
      <c r="I29" s="74"/>
      <c r="J29" s="73"/>
      <c r="K29" s="74"/>
      <c r="L29" s="73"/>
      <c r="M29" s="74"/>
      <c r="N29" s="73"/>
      <c r="O29" s="74" t="s">
        <v>109</v>
      </c>
      <c r="P29" s="191"/>
      <c r="Q29" s="157"/>
      <c r="R29" s="73"/>
      <c r="S29" s="80">
        <f>S3/S25</f>
        <v>1.9407962962962964</v>
      </c>
      <c r="T29" s="80">
        <f t="shared" ref="T29:Z29" si="59">T3/T25</f>
        <v>1.9649655172413794</v>
      </c>
      <c r="U29" s="80"/>
      <c r="V29" s="80">
        <f t="shared" si="59"/>
        <v>2.1649000000000003</v>
      </c>
      <c r="W29" s="80"/>
      <c r="X29" s="80">
        <f t="shared" si="59"/>
        <v>1.12309375</v>
      </c>
      <c r="Y29" s="80">
        <f t="shared" si="59"/>
        <v>2.8916567164179106</v>
      </c>
      <c r="Z29" s="80">
        <f t="shared" si="59"/>
        <v>3.0293239436619719</v>
      </c>
      <c r="AA29" s="138"/>
      <c r="AB29" s="73"/>
      <c r="AC29" s="73"/>
      <c r="AD29" s="73"/>
      <c r="AE29" s="73"/>
      <c r="AF29" s="73"/>
      <c r="AG29" s="73"/>
      <c r="AH29" s="73"/>
    </row>
    <row r="30" spans="1:46" s="3" customFormat="1" ht="12.75" customHeight="1" x14ac:dyDescent="0.2">
      <c r="B30" s="67" t="s">
        <v>115</v>
      </c>
      <c r="C30" s="68"/>
      <c r="D30" s="68"/>
      <c r="E30" s="69"/>
      <c r="F30" s="68"/>
      <c r="G30" s="69"/>
      <c r="H30" s="68"/>
      <c r="I30" s="69"/>
      <c r="J30" s="68"/>
      <c r="K30" s="69"/>
      <c r="L30" s="68"/>
      <c r="M30" s="69"/>
      <c r="N30" s="68"/>
      <c r="O30" s="69"/>
      <c r="P30" s="192"/>
      <c r="Q30" s="158"/>
      <c r="R30" s="68"/>
      <c r="S30" s="36">
        <v>12.1</v>
      </c>
      <c r="T30" s="36">
        <v>13.1</v>
      </c>
      <c r="U30" s="70"/>
      <c r="V30" s="70"/>
      <c r="W30" s="70"/>
      <c r="X30" s="70"/>
      <c r="Y30" s="70"/>
      <c r="Z30" s="70"/>
      <c r="AA30" s="139"/>
      <c r="AB30" s="68"/>
      <c r="AC30" s="68"/>
      <c r="AD30" s="68"/>
      <c r="AE30" s="68"/>
      <c r="AF30" s="68"/>
      <c r="AG30" s="68"/>
      <c r="AH30" s="68"/>
    </row>
    <row r="31" spans="1:46" s="75" customFormat="1" x14ac:dyDescent="0.2">
      <c r="B31" s="76" t="s">
        <v>116</v>
      </c>
      <c r="E31" s="77"/>
      <c r="G31" s="77"/>
      <c r="I31" s="77"/>
      <c r="K31" s="77"/>
      <c r="M31" s="77"/>
      <c r="O31" s="77"/>
      <c r="P31" s="193"/>
      <c r="Q31" s="78"/>
      <c r="S31" s="79">
        <f>S3/S30</f>
        <v>8.6614049586776858</v>
      </c>
      <c r="T31" s="79">
        <f>T3/T30</f>
        <v>8.6998473282442745</v>
      </c>
      <c r="AA31" s="78"/>
    </row>
    <row r="32" spans="1:46" s="75" customFormat="1" x14ac:dyDescent="0.2">
      <c r="B32" s="76"/>
      <c r="E32" s="77"/>
      <c r="G32" s="77"/>
      <c r="I32" s="77"/>
      <c r="K32" s="77"/>
      <c r="M32" s="77"/>
      <c r="O32" s="77"/>
      <c r="P32" s="193"/>
      <c r="Q32" s="78"/>
      <c r="S32" s="79"/>
      <c r="T32" s="79"/>
      <c r="AA32" s="78"/>
      <c r="AC32" s="75" t="s">
        <v>152</v>
      </c>
    </row>
    <row r="33" spans="1:27" s="141" customFormat="1" x14ac:dyDescent="0.2">
      <c r="B33" s="142" t="s">
        <v>145</v>
      </c>
      <c r="E33" s="143"/>
      <c r="G33" s="143"/>
      <c r="I33" s="143"/>
      <c r="K33" s="143"/>
      <c r="M33" s="143"/>
      <c r="O33" s="143"/>
      <c r="P33" s="194"/>
      <c r="Q33" s="144"/>
      <c r="S33" s="141">
        <f t="shared" ref="S33:X33" si="60">SUM(S34:S36)</f>
        <v>0</v>
      </c>
      <c r="T33" s="141">
        <f t="shared" si="60"/>
        <v>0</v>
      </c>
      <c r="U33" s="141">
        <f t="shared" si="60"/>
        <v>0</v>
      </c>
      <c r="V33" s="141">
        <f t="shared" si="60"/>
        <v>0</v>
      </c>
      <c r="W33" s="141">
        <f t="shared" si="60"/>
        <v>0</v>
      </c>
      <c r="X33" s="141">
        <f t="shared" si="60"/>
        <v>1787</v>
      </c>
      <c r="Y33" s="141">
        <f>SUM(Y34:Y36)</f>
        <v>2530</v>
      </c>
      <c r="Z33" s="141">
        <f>SUM(Z34:Z36)</f>
        <v>2787</v>
      </c>
      <c r="AA33" s="144"/>
    </row>
    <row r="34" spans="1:27" s="145" customFormat="1" x14ac:dyDescent="0.2">
      <c r="B34" s="146" t="s">
        <v>146</v>
      </c>
      <c r="E34" s="147"/>
      <c r="G34" s="147"/>
      <c r="I34" s="147"/>
      <c r="K34" s="147"/>
      <c r="M34" s="147"/>
      <c r="O34" s="147"/>
      <c r="P34" s="195"/>
      <c r="Q34" s="148"/>
      <c r="X34" s="145">
        <v>6</v>
      </c>
      <c r="Y34" s="145">
        <v>7</v>
      </c>
      <c r="Z34" s="145">
        <v>7</v>
      </c>
      <c r="AA34" s="148"/>
    </row>
    <row r="35" spans="1:27" s="145" customFormat="1" x14ac:dyDescent="0.2">
      <c r="B35" s="146" t="s">
        <v>147</v>
      </c>
      <c r="E35" s="147"/>
      <c r="G35" s="147"/>
      <c r="I35" s="147"/>
      <c r="K35" s="147"/>
      <c r="M35" s="147"/>
      <c r="O35" s="147"/>
      <c r="P35" s="195"/>
      <c r="Q35" s="148"/>
      <c r="X35" s="145">
        <v>58</v>
      </c>
      <c r="Y35" s="145">
        <v>91</v>
      </c>
      <c r="Z35" s="145">
        <v>112</v>
      </c>
      <c r="AA35" s="148"/>
    </row>
    <row r="36" spans="1:27" s="149" customFormat="1" x14ac:dyDescent="0.2">
      <c r="B36" s="146" t="s">
        <v>148</v>
      </c>
      <c r="E36" s="150"/>
      <c r="G36" s="150"/>
      <c r="I36" s="150"/>
      <c r="K36" s="150"/>
      <c r="M36" s="150"/>
      <c r="O36" s="150"/>
      <c r="P36" s="196"/>
      <c r="Q36" s="159"/>
      <c r="X36" s="149">
        <v>1723</v>
      </c>
      <c r="Y36" s="149">
        <v>2432</v>
      </c>
      <c r="Z36" s="149">
        <v>2668</v>
      </c>
      <c r="AA36" s="148"/>
    </row>
    <row r="38" spans="1:27" x14ac:dyDescent="0.2">
      <c r="B38" s="29" t="s">
        <v>48</v>
      </c>
    </row>
    <row r="39" spans="1:27" x14ac:dyDescent="0.2">
      <c r="B39" s="1" t="s">
        <v>49</v>
      </c>
      <c r="H39" s="14">
        <v>48.180999999999997</v>
      </c>
      <c r="L39" s="14">
        <v>55.976999999999997</v>
      </c>
      <c r="M39" s="31"/>
      <c r="N39" s="27">
        <v>74.733999999999995</v>
      </c>
      <c r="P39" s="200">
        <v>91.209000000000003</v>
      </c>
      <c r="X39" s="14">
        <v>49.036000000000001</v>
      </c>
      <c r="Y39" s="14">
        <v>68.641000000000005</v>
      </c>
      <c r="Z39" s="14">
        <v>78.278999999999996</v>
      </c>
      <c r="AA39" s="133"/>
    </row>
    <row r="40" spans="1:27" x14ac:dyDescent="0.2">
      <c r="B40" s="1" t="s">
        <v>50</v>
      </c>
      <c r="H40" s="14">
        <v>147.39099999999999</v>
      </c>
      <c r="L40" s="14">
        <v>133.077</v>
      </c>
      <c r="M40" s="31"/>
      <c r="N40" s="27">
        <v>150.56299999999999</v>
      </c>
      <c r="P40" s="200">
        <v>160.84</v>
      </c>
      <c r="X40" s="14">
        <v>132.34200000000001</v>
      </c>
      <c r="Y40" s="14">
        <v>147.45500000000001</v>
      </c>
      <c r="Z40" s="14">
        <v>150.81100000000001</v>
      </c>
      <c r="AA40" s="133"/>
    </row>
    <row r="41" spans="1:27" x14ac:dyDescent="0.2">
      <c r="B41" s="1" t="s">
        <v>51</v>
      </c>
      <c r="H41" s="14">
        <v>78.364000000000004</v>
      </c>
      <c r="L41" s="14">
        <v>77.807000000000002</v>
      </c>
      <c r="M41" s="31"/>
      <c r="N41" s="27">
        <v>88.628</v>
      </c>
      <c r="P41" s="200">
        <v>94.15</v>
      </c>
      <c r="X41" s="14">
        <v>77.947999999999993</v>
      </c>
      <c r="Y41" s="14">
        <v>81.793999999999997</v>
      </c>
      <c r="Z41" s="14">
        <v>89.376000000000005</v>
      </c>
      <c r="AA41" s="133"/>
    </row>
    <row r="42" spans="1:27" x14ac:dyDescent="0.2">
      <c r="B42" s="1" t="s">
        <v>52</v>
      </c>
      <c r="H42" s="14">
        <v>2.93</v>
      </c>
      <c r="L42" s="14">
        <v>4.13</v>
      </c>
      <c r="M42" s="31"/>
      <c r="N42" s="27">
        <v>0.29799999999999999</v>
      </c>
      <c r="P42" s="200">
        <v>0.13100000000000001</v>
      </c>
      <c r="X42" s="14">
        <v>6.29</v>
      </c>
      <c r="Y42" s="14">
        <v>1.647</v>
      </c>
      <c r="Z42" s="14">
        <v>1.3089999999999999</v>
      </c>
      <c r="AA42" s="133"/>
    </row>
    <row r="43" spans="1:27" x14ac:dyDescent="0.2">
      <c r="B43" s="1" t="s">
        <v>53</v>
      </c>
      <c r="H43" s="14">
        <f>SUM(H39:H42)</f>
        <v>276.86600000000004</v>
      </c>
      <c r="L43" s="14">
        <f>SUM(L39:L42)</f>
        <v>270.99099999999999</v>
      </c>
      <c r="M43" s="31"/>
      <c r="N43" s="27">
        <f>SUM(N39:N42)</f>
        <v>314.22299999999996</v>
      </c>
      <c r="P43" s="14">
        <f>SUM(P39:P42)</f>
        <v>346.33</v>
      </c>
      <c r="X43" s="14">
        <f>SUM(X39:X42)</f>
        <v>265.61600000000004</v>
      </c>
      <c r="Y43" s="14">
        <f>SUM(Y39:Y42)</f>
        <v>299.53699999999998</v>
      </c>
      <c r="Z43" s="14">
        <f>SUM(Z39:Z42)</f>
        <v>319.77500000000003</v>
      </c>
      <c r="AA43" s="133"/>
    </row>
    <row r="44" spans="1:27" s="3" customFormat="1" x14ac:dyDescent="0.2">
      <c r="B44" s="3" t="s">
        <v>6</v>
      </c>
      <c r="E44" s="61"/>
      <c r="G44" s="61"/>
      <c r="H44" s="12">
        <v>15.635999999999999</v>
      </c>
      <c r="I44" s="61"/>
      <c r="K44" s="61"/>
      <c r="L44" s="12">
        <v>49.576999999999998</v>
      </c>
      <c r="M44" s="30"/>
      <c r="N44" s="36">
        <v>44.149000000000001</v>
      </c>
      <c r="O44" s="61"/>
      <c r="P44" s="201">
        <v>41.404000000000003</v>
      </c>
      <c r="Q44" s="153"/>
      <c r="X44" s="12">
        <v>29.942</v>
      </c>
      <c r="Y44" s="12">
        <v>56.066000000000003</v>
      </c>
      <c r="Z44" s="12">
        <v>52.454999999999998</v>
      </c>
      <c r="AA44" s="132"/>
    </row>
    <row r="45" spans="1:27" x14ac:dyDescent="0.2">
      <c r="A45" s="13"/>
      <c r="B45" s="1" t="s">
        <v>54</v>
      </c>
      <c r="H45" s="14">
        <v>2.9940000000000002</v>
      </c>
      <c r="L45" s="14">
        <v>10.474</v>
      </c>
      <c r="M45" s="31"/>
      <c r="N45" s="27">
        <v>5.8979999999999997</v>
      </c>
      <c r="P45" s="200">
        <v>9.2129999999999992</v>
      </c>
      <c r="X45" s="14">
        <v>3.3</v>
      </c>
      <c r="Y45" s="14">
        <v>5.13</v>
      </c>
      <c r="Z45" s="14">
        <v>8.1159999999999997</v>
      </c>
      <c r="AA45" s="133"/>
    </row>
    <row r="46" spans="1:27" x14ac:dyDescent="0.2">
      <c r="A46" s="13"/>
      <c r="B46" s="1" t="s">
        <v>55</v>
      </c>
      <c r="H46" s="14">
        <v>1.3120000000000001</v>
      </c>
      <c r="L46" s="14">
        <v>0</v>
      </c>
      <c r="M46" s="31"/>
      <c r="N46" s="27">
        <v>0</v>
      </c>
      <c r="P46" s="200">
        <v>0</v>
      </c>
      <c r="X46" s="14">
        <v>0.65</v>
      </c>
      <c r="Y46" s="14">
        <v>0.27100000000000002</v>
      </c>
      <c r="Z46" s="14">
        <v>0.71499999999999997</v>
      </c>
      <c r="AA46" s="133"/>
    </row>
    <row r="47" spans="1:27" x14ac:dyDescent="0.2">
      <c r="A47" s="13"/>
      <c r="B47" s="1" t="s">
        <v>56</v>
      </c>
      <c r="H47" s="14">
        <v>1.4830000000000001</v>
      </c>
      <c r="L47" s="14">
        <v>1.7390000000000001</v>
      </c>
      <c r="M47" s="31"/>
      <c r="N47" s="27">
        <v>2.6389999999999998</v>
      </c>
      <c r="P47" s="200">
        <v>2.8980000000000001</v>
      </c>
      <c r="X47" s="14">
        <v>1.4610000000000001</v>
      </c>
      <c r="Y47" s="14">
        <v>2.1480000000000001</v>
      </c>
      <c r="Z47" s="14">
        <v>2.4449999999999998</v>
      </c>
      <c r="AA47" s="133"/>
    </row>
    <row r="48" spans="1:27" x14ac:dyDescent="0.2">
      <c r="B48" s="1" t="s">
        <v>57</v>
      </c>
      <c r="H48" s="14">
        <f>H43+H44+H45+H46+H47</f>
        <v>298.29100000000011</v>
      </c>
      <c r="L48" s="14">
        <f>L43+L44+L45+L46+L47</f>
        <v>332.78099999999995</v>
      </c>
      <c r="M48" s="31"/>
      <c r="N48" s="27">
        <f>N43+N44+N45+N46+N47</f>
        <v>366.90899999999999</v>
      </c>
      <c r="P48" s="14">
        <f>P43+P44+P45+P46+P47</f>
        <v>399.84500000000003</v>
      </c>
      <c r="X48" s="14">
        <f>SUM(X44:X47)+X43</f>
        <v>300.96900000000005</v>
      </c>
      <c r="Y48" s="14">
        <f>SUM(Y44:Y47)+Y43</f>
        <v>363.15199999999999</v>
      </c>
      <c r="Z48" s="14">
        <f>SUM(Z44:Z47)+Z43</f>
        <v>383.50600000000003</v>
      </c>
      <c r="AA48" s="133"/>
    </row>
    <row r="49" spans="1:27" x14ac:dyDescent="0.2">
      <c r="H49" s="14"/>
      <c r="L49" s="14"/>
      <c r="M49" s="31"/>
    </row>
    <row r="50" spans="1:27" x14ac:dyDescent="0.2">
      <c r="A50" s="3"/>
      <c r="B50" s="1" t="s">
        <v>58</v>
      </c>
      <c r="H50" s="14">
        <v>11.737</v>
      </c>
      <c r="L50" s="14">
        <v>21.773</v>
      </c>
      <c r="M50" s="31"/>
      <c r="N50" s="1">
        <v>25.984000000000002</v>
      </c>
      <c r="P50" s="200">
        <v>29.574000000000002</v>
      </c>
      <c r="X50" s="14">
        <v>18.141999999999999</v>
      </c>
      <c r="Y50" s="14">
        <v>28.681000000000001</v>
      </c>
      <c r="Z50" s="14">
        <v>29.109000000000002</v>
      </c>
      <c r="AA50" s="133"/>
    </row>
    <row r="51" spans="1:27" x14ac:dyDescent="0.2">
      <c r="A51" s="3"/>
      <c r="B51" s="1" t="s">
        <v>59</v>
      </c>
      <c r="H51" s="14">
        <v>11.831</v>
      </c>
      <c r="L51" s="14">
        <v>11.615</v>
      </c>
      <c r="M51" s="31"/>
      <c r="N51" s="1">
        <v>11.91</v>
      </c>
      <c r="P51" s="200">
        <v>12.964</v>
      </c>
      <c r="X51" s="14">
        <v>13.811</v>
      </c>
      <c r="Y51" s="14">
        <v>11.557</v>
      </c>
      <c r="Z51" s="14">
        <v>12.553000000000001</v>
      </c>
      <c r="AA51" s="133"/>
    </row>
    <row r="52" spans="1:27" x14ac:dyDescent="0.2">
      <c r="A52" s="3"/>
      <c r="B52" s="1" t="s">
        <v>40</v>
      </c>
      <c r="H52" s="14">
        <v>0</v>
      </c>
      <c r="L52" s="14">
        <v>2.0670000000000002</v>
      </c>
      <c r="M52" s="31"/>
      <c r="N52" s="1">
        <v>9.6000000000000002E-2</v>
      </c>
      <c r="P52" s="200">
        <v>0.79900000000000004</v>
      </c>
      <c r="X52" s="14">
        <v>0</v>
      </c>
      <c r="Y52" s="14">
        <v>0</v>
      </c>
      <c r="Z52" s="14">
        <v>0</v>
      </c>
      <c r="AA52" s="133"/>
    </row>
    <row r="53" spans="1:27" s="3" customFormat="1" x14ac:dyDescent="0.2">
      <c r="B53" s="3" t="s">
        <v>60</v>
      </c>
      <c r="E53" s="61"/>
      <c r="G53" s="61"/>
      <c r="H53" s="12">
        <v>5.38</v>
      </c>
      <c r="I53" s="61"/>
      <c r="K53" s="61"/>
      <c r="L53" s="12">
        <v>0</v>
      </c>
      <c r="M53" s="30"/>
      <c r="N53" s="3">
        <v>0</v>
      </c>
      <c r="O53" s="61"/>
      <c r="P53" s="201">
        <v>0</v>
      </c>
      <c r="Q53" s="153"/>
      <c r="X53" s="12">
        <v>0</v>
      </c>
      <c r="Y53" s="12">
        <v>0</v>
      </c>
      <c r="Z53" s="12">
        <v>0</v>
      </c>
      <c r="AA53" s="132"/>
    </row>
    <row r="54" spans="1:27" x14ac:dyDescent="0.2">
      <c r="A54" s="3"/>
      <c r="B54" s="1" t="s">
        <v>61</v>
      </c>
      <c r="H54" s="14">
        <f>SUM(H50:H53)</f>
        <v>28.947999999999997</v>
      </c>
      <c r="L54" s="14">
        <f>SUM(L50:L53)</f>
        <v>35.454999999999998</v>
      </c>
      <c r="M54" s="31"/>
      <c r="N54" s="14">
        <f>SUM(N50:N53)</f>
        <v>37.99</v>
      </c>
      <c r="P54" s="14">
        <f>SUM(P50:P53)</f>
        <v>43.337000000000003</v>
      </c>
      <c r="X54" s="14">
        <f>SUM(X50:X53)</f>
        <v>31.952999999999999</v>
      </c>
      <c r="Y54" s="14">
        <f>SUM(Y50:Y53)</f>
        <v>40.238</v>
      </c>
      <c r="Z54" s="14">
        <f>SUM(Z50:Z53)</f>
        <v>41.662000000000006</v>
      </c>
      <c r="AA54" s="133"/>
    </row>
    <row r="55" spans="1:27" x14ac:dyDescent="0.2">
      <c r="B55" s="1" t="s">
        <v>62</v>
      </c>
      <c r="H55" s="14">
        <v>0.68700000000000006</v>
      </c>
      <c r="L55" s="14">
        <v>0.51600000000000001</v>
      </c>
      <c r="M55" s="31"/>
      <c r="N55" s="1">
        <v>3.8660000000000001</v>
      </c>
      <c r="P55" s="200">
        <v>6.2370000000000001</v>
      </c>
      <c r="X55" s="14">
        <v>0.56499999999999995</v>
      </c>
      <c r="Y55" s="14">
        <v>3</v>
      </c>
      <c r="Z55" s="14">
        <v>5.2080000000000002</v>
      </c>
      <c r="AA55" s="133"/>
    </row>
    <row r="56" spans="1:27" x14ac:dyDescent="0.2">
      <c r="B56" s="1" t="s">
        <v>59</v>
      </c>
      <c r="H56" s="14">
        <v>164.32900000000001</v>
      </c>
      <c r="L56" s="14">
        <v>160.916</v>
      </c>
      <c r="M56" s="31"/>
      <c r="N56" s="1">
        <v>180.39599999999999</v>
      </c>
      <c r="P56" s="200">
        <v>192.09</v>
      </c>
      <c r="X56" s="14">
        <v>160.12899999999999</v>
      </c>
      <c r="Y56" s="14">
        <v>176.81200000000001</v>
      </c>
      <c r="Z56" s="14">
        <v>181.65199999999999</v>
      </c>
      <c r="AA56" s="133"/>
    </row>
    <row r="57" spans="1:27" s="3" customFormat="1" x14ac:dyDescent="0.2">
      <c r="B57" s="3" t="s">
        <v>60</v>
      </c>
      <c r="E57" s="61"/>
      <c r="G57" s="61"/>
      <c r="H57" s="12">
        <v>24.693000000000001</v>
      </c>
      <c r="I57" s="61"/>
      <c r="K57" s="61"/>
      <c r="L57" s="12">
        <v>0</v>
      </c>
      <c r="M57" s="30"/>
      <c r="N57" s="3">
        <v>0</v>
      </c>
      <c r="O57" s="61"/>
      <c r="P57" s="201">
        <v>0</v>
      </c>
      <c r="Q57" s="153"/>
      <c r="X57" s="12">
        <v>0</v>
      </c>
      <c r="Y57" s="12">
        <v>0</v>
      </c>
      <c r="Z57" s="12">
        <v>1.96</v>
      </c>
      <c r="AA57" s="132"/>
    </row>
    <row r="58" spans="1:27" s="14" customFormat="1" x14ac:dyDescent="0.2">
      <c r="B58" s="14" t="s">
        <v>52</v>
      </c>
      <c r="E58" s="31"/>
      <c r="G58" s="31"/>
      <c r="H58" s="14">
        <v>0</v>
      </c>
      <c r="I58" s="31"/>
      <c r="K58" s="31"/>
      <c r="L58" s="14">
        <v>0</v>
      </c>
      <c r="M58" s="31"/>
      <c r="N58" s="14">
        <v>0</v>
      </c>
      <c r="O58" s="31"/>
      <c r="P58" s="200">
        <v>1.655</v>
      </c>
      <c r="Q58" s="44"/>
      <c r="X58" s="14">
        <v>0</v>
      </c>
      <c r="Y58" s="14">
        <v>0</v>
      </c>
      <c r="Z58" s="14">
        <v>0</v>
      </c>
      <c r="AA58" s="133"/>
    </row>
    <row r="59" spans="1:27" x14ac:dyDescent="0.2">
      <c r="A59" s="3"/>
      <c r="B59" s="1" t="s">
        <v>63</v>
      </c>
      <c r="H59" s="14">
        <v>3.8029999999999999</v>
      </c>
      <c r="L59" s="14">
        <v>3.7690000000000001</v>
      </c>
      <c r="M59" s="31"/>
      <c r="N59" s="1">
        <v>5.2969999999999997</v>
      </c>
      <c r="P59" s="200">
        <v>5.6520000000000001</v>
      </c>
      <c r="X59" s="14">
        <v>3.6349999999999998</v>
      </c>
      <c r="Y59" s="14">
        <v>4.6820000000000004</v>
      </c>
      <c r="Z59" s="14">
        <v>5.0839999999999996</v>
      </c>
      <c r="AA59" s="133"/>
    </row>
    <row r="60" spans="1:27" x14ac:dyDescent="0.2">
      <c r="B60" s="1" t="s">
        <v>64</v>
      </c>
      <c r="H60" s="14">
        <f>H54+H55+H56+H57+H59+H58</f>
        <v>222.46</v>
      </c>
      <c r="L60" s="14">
        <f>L54+L55+L56+L57+L59+L58</f>
        <v>200.65600000000001</v>
      </c>
      <c r="M60" s="31"/>
      <c r="N60" s="14">
        <f>N54+N55+N56+N57+N59+N58</f>
        <v>227.54899999999998</v>
      </c>
      <c r="P60" s="14">
        <f>P54+P55+P56+P57+P59+P58</f>
        <v>248.971</v>
      </c>
      <c r="X60" s="14">
        <f t="shared" ref="X60:Z60" si="61">X54+X55+X56+X57+X59+X58</f>
        <v>196.28199999999998</v>
      </c>
      <c r="Y60" s="14">
        <f t="shared" si="61"/>
        <v>224.732</v>
      </c>
      <c r="Z60" s="14">
        <f t="shared" si="61"/>
        <v>235.566</v>
      </c>
      <c r="AA60" s="133"/>
    </row>
    <row r="61" spans="1:27" x14ac:dyDescent="0.2">
      <c r="H61" s="14"/>
    </row>
    <row r="62" spans="1:27" x14ac:dyDescent="0.2">
      <c r="B62" s="1" t="s">
        <v>65</v>
      </c>
      <c r="H62" s="14">
        <v>75.83</v>
      </c>
      <c r="L62" s="14">
        <v>132.125</v>
      </c>
      <c r="M62" s="31"/>
      <c r="N62" s="14">
        <v>139.387</v>
      </c>
      <c r="P62" s="200">
        <v>150.874</v>
      </c>
      <c r="X62" s="14">
        <v>104.687</v>
      </c>
      <c r="Y62" s="14">
        <v>138.41999999999999</v>
      </c>
      <c r="Z62" s="14">
        <v>147.94</v>
      </c>
      <c r="AA62" s="133"/>
    </row>
    <row r="63" spans="1:27" x14ac:dyDescent="0.2">
      <c r="B63" s="1" t="s">
        <v>66</v>
      </c>
      <c r="H63" s="14">
        <f>H60+H62</f>
        <v>298.29000000000002</v>
      </c>
      <c r="L63" s="14">
        <f>L60+L62</f>
        <v>332.78100000000001</v>
      </c>
      <c r="M63" s="31"/>
      <c r="N63" s="14">
        <f>N60+N62</f>
        <v>366.93599999999998</v>
      </c>
      <c r="P63" s="14">
        <f>P60+P62</f>
        <v>399.84500000000003</v>
      </c>
      <c r="X63" s="14">
        <f>X62+X60</f>
        <v>300.96899999999999</v>
      </c>
      <c r="Y63" s="14">
        <f>Y62+Y60</f>
        <v>363.15199999999999</v>
      </c>
      <c r="Z63" s="14">
        <f>Z62+Z60</f>
        <v>383.50599999999997</v>
      </c>
      <c r="AA63" s="133"/>
    </row>
    <row r="65" spans="1:27" x14ac:dyDescent="0.2">
      <c r="B65" s="1" t="s">
        <v>131</v>
      </c>
      <c r="H65" s="14">
        <f>H48-H60</f>
        <v>75.831000000000103</v>
      </c>
      <c r="L65" s="14">
        <f>L48-L60</f>
        <v>132.12499999999994</v>
      </c>
      <c r="M65" s="31"/>
      <c r="N65" s="14">
        <f>N48-N60</f>
        <v>139.36000000000001</v>
      </c>
      <c r="P65" s="14">
        <f>P48-P60</f>
        <v>150.87400000000002</v>
      </c>
      <c r="X65" s="14">
        <f t="shared" ref="X65:Y65" si="62">X48-X60</f>
        <v>104.68700000000007</v>
      </c>
      <c r="Y65" s="14">
        <f t="shared" si="62"/>
        <v>138.41999999999999</v>
      </c>
      <c r="Z65" s="14">
        <f t="shared" ref="Z65" si="63">Z48-Z60</f>
        <v>147.94000000000003</v>
      </c>
      <c r="AA65" s="133"/>
    </row>
    <row r="66" spans="1:27" x14ac:dyDescent="0.2">
      <c r="A66" s="3"/>
      <c r="B66" s="1" t="s">
        <v>132</v>
      </c>
      <c r="H66" s="1">
        <f>H65/H14</f>
        <v>0.50318915060727853</v>
      </c>
      <c r="L66" s="1">
        <f>L65/L14</f>
        <v>0.77343526713555533</v>
      </c>
      <c r="N66" s="1">
        <f>N65/N14</f>
        <v>0.81391234576365445</v>
      </c>
      <c r="P66" s="1">
        <f>P65/P14</f>
        <v>0.87219211748034853</v>
      </c>
      <c r="X66" s="1">
        <f t="shared" ref="X66:Y66" si="64">X65/X14</f>
        <v>0.63597840274765649</v>
      </c>
      <c r="Y66" s="1">
        <f t="shared" si="64"/>
        <v>0.80971382354881549</v>
      </c>
      <c r="Z66" s="1">
        <f t="shared" ref="Z66" si="65">Z65/Z14</f>
        <v>0.86278472172836618</v>
      </c>
    </row>
    <row r="68" spans="1:27" x14ac:dyDescent="0.2">
      <c r="B68" s="1" t="s">
        <v>6</v>
      </c>
      <c r="H68" s="14">
        <f t="shared" ref="H68" si="66">H44</f>
        <v>15.635999999999999</v>
      </c>
      <c r="L68" s="14">
        <f t="shared" ref="L68:N68" si="67">L44</f>
        <v>49.576999999999998</v>
      </c>
      <c r="N68" s="14">
        <f t="shared" si="67"/>
        <v>44.149000000000001</v>
      </c>
      <c r="P68" s="14">
        <f t="shared" ref="P68" si="68">P44</f>
        <v>41.404000000000003</v>
      </c>
      <c r="X68" s="14">
        <f t="shared" ref="X68" si="69">X44</f>
        <v>29.942</v>
      </c>
      <c r="Y68" s="14">
        <f>Y44</f>
        <v>56.066000000000003</v>
      </c>
      <c r="Z68" s="14">
        <f t="shared" ref="Z68" si="70">Z44</f>
        <v>52.454999999999998</v>
      </c>
      <c r="AA68" s="133"/>
    </row>
    <row r="69" spans="1:27" x14ac:dyDescent="0.2">
      <c r="B69" s="1" t="s">
        <v>7</v>
      </c>
      <c r="H69" s="14">
        <f t="shared" ref="H69" si="71">H53+H57</f>
        <v>30.073</v>
      </c>
      <c r="L69" s="14">
        <f t="shared" ref="L69:N69" si="72">L53+L57</f>
        <v>0</v>
      </c>
      <c r="N69" s="14">
        <f t="shared" si="72"/>
        <v>0</v>
      </c>
      <c r="P69" s="14">
        <f t="shared" ref="P69" si="73">P53+P57</f>
        <v>0</v>
      </c>
      <c r="X69" s="14">
        <f t="shared" ref="X69" si="74">X53+X57</f>
        <v>0</v>
      </c>
      <c r="Y69" s="14">
        <f>Y53+Y57</f>
        <v>0</v>
      </c>
      <c r="Z69" s="14">
        <f t="shared" ref="Z69" si="75">Z53+Z57</f>
        <v>1.96</v>
      </c>
      <c r="AA69" s="133"/>
    </row>
    <row r="70" spans="1:27" x14ac:dyDescent="0.2">
      <c r="B70" s="1" t="s">
        <v>8</v>
      </c>
      <c r="H70" s="14">
        <f>H68-H69</f>
        <v>-14.437000000000001</v>
      </c>
      <c r="L70" s="14">
        <f>L68-L69</f>
        <v>49.576999999999998</v>
      </c>
      <c r="N70" s="14">
        <f>N68-N69</f>
        <v>44.149000000000001</v>
      </c>
      <c r="P70" s="14">
        <f>P68-P69</f>
        <v>41.404000000000003</v>
      </c>
      <c r="X70" s="14">
        <f>X68-X69</f>
        <v>29.942</v>
      </c>
      <c r="Y70" s="14">
        <f>Y68-Y69</f>
        <v>56.066000000000003</v>
      </c>
      <c r="Z70" s="14">
        <f t="shared" ref="Z70" si="76">Z68-Z69</f>
        <v>50.494999999999997</v>
      </c>
      <c r="AA70" s="133"/>
    </row>
    <row r="72" spans="1:27" x14ac:dyDescent="0.2">
      <c r="B72" s="1" t="s">
        <v>140</v>
      </c>
      <c r="H72" s="1">
        <v>1.4767999999999999</v>
      </c>
      <c r="L72" s="1">
        <v>2.3904999999999998</v>
      </c>
      <c r="N72" s="1">
        <v>2.3014000000000001</v>
      </c>
      <c r="P72" s="189">
        <v>3.2949999999999999</v>
      </c>
      <c r="S72" s="1">
        <v>1.4937</v>
      </c>
      <c r="T72" s="1">
        <v>1.6520999999999999</v>
      </c>
      <c r="U72" s="1">
        <v>2.0512999999999999</v>
      </c>
      <c r="V72" s="1">
        <v>2.1863999999999999</v>
      </c>
      <c r="W72" s="1">
        <v>1.2907999999999999</v>
      </c>
      <c r="X72" s="1">
        <v>2.395</v>
      </c>
      <c r="Y72" s="1">
        <v>1.8740000000000001</v>
      </c>
      <c r="Z72" s="1">
        <v>2.4750000000000001</v>
      </c>
    </row>
    <row r="73" spans="1:27" x14ac:dyDescent="0.2">
      <c r="B73" s="1" t="s">
        <v>5</v>
      </c>
      <c r="H73" s="27">
        <f t="shared" ref="H73" si="77">H72*H14</f>
        <v>222.55491928799998</v>
      </c>
      <c r="L73" s="27">
        <f t="shared" ref="L73:N73" si="78">L72*L14</f>
        <v>408.36618902800001</v>
      </c>
      <c r="N73" s="27">
        <f t="shared" si="78"/>
        <v>394.05116001659997</v>
      </c>
      <c r="P73" s="27">
        <f t="shared" ref="P73" si="79">P72*P14</f>
        <v>569.977439645</v>
      </c>
      <c r="S73" s="27">
        <f t="shared" ref="S73:W73" si="80">S72*S14</f>
        <v>158.09794302899999</v>
      </c>
      <c r="T73" s="27">
        <f t="shared" si="80"/>
        <v>247.815</v>
      </c>
      <c r="U73" s="27">
        <f t="shared" si="80"/>
        <v>307.69499999999999</v>
      </c>
      <c r="V73" s="27">
        <f t="shared" si="80"/>
        <v>327.96</v>
      </c>
      <c r="W73" s="27">
        <f t="shared" si="80"/>
        <v>198.01083562119999</v>
      </c>
      <c r="X73" s="27">
        <f t="shared" ref="X73" si="81">X72*X14</f>
        <v>394.23565944500001</v>
      </c>
      <c r="Y73" s="27">
        <f>Y72*Y14</f>
        <v>320.358961964</v>
      </c>
      <c r="Z73" s="27">
        <f t="shared" ref="Z73" si="82">Z72*Z14</f>
        <v>424.38338414999998</v>
      </c>
      <c r="AA73" s="134"/>
    </row>
    <row r="74" spans="1:27" x14ac:dyDescent="0.2">
      <c r="B74" s="1" t="s">
        <v>9</v>
      </c>
      <c r="H74" s="27">
        <f>H73-H70</f>
        <v>236.99191928799999</v>
      </c>
      <c r="L74" s="27">
        <f>L73-L70</f>
        <v>358.78918902800001</v>
      </c>
      <c r="N74" s="27">
        <f>N73-N70</f>
        <v>349.90216001659996</v>
      </c>
      <c r="P74" s="27">
        <f>P73-P70</f>
        <v>528.57343964500001</v>
      </c>
      <c r="S74" s="27"/>
      <c r="T74" s="27"/>
      <c r="U74" s="27"/>
      <c r="V74" s="27"/>
      <c r="W74" s="27"/>
      <c r="X74" s="27">
        <f>X73-X70</f>
        <v>364.293659445</v>
      </c>
      <c r="Y74" s="27">
        <f>Y73-Y70</f>
        <v>264.29296196400003</v>
      </c>
      <c r="Z74" s="27">
        <f t="shared" ref="Z74" si="83">Z73-Z70</f>
        <v>373.88838414999998</v>
      </c>
      <c r="AA74" s="134"/>
    </row>
    <row r="76" spans="1:27" s="92" customFormat="1" x14ac:dyDescent="0.2">
      <c r="B76" s="92" t="s">
        <v>134</v>
      </c>
      <c r="E76" s="93"/>
      <c r="G76" s="93"/>
      <c r="H76" s="92">
        <f>H72/H66</f>
        <v>2.9348804484709379</v>
      </c>
      <c r="I76" s="93"/>
      <c r="K76" s="93"/>
      <c r="L76" s="92">
        <f>L72/L66</f>
        <v>3.0907563975629149</v>
      </c>
      <c r="M76" s="93"/>
      <c r="N76" s="92">
        <f>N72/N66</f>
        <v>2.827577210222445</v>
      </c>
      <c r="O76" s="93"/>
      <c r="P76" s="92">
        <f>P72/P66</f>
        <v>3.7778373983920348</v>
      </c>
      <c r="Q76" s="160"/>
      <c r="X76" s="92">
        <f t="shared" ref="X76" si="84">X72/X66</f>
        <v>3.7658511510025101</v>
      </c>
      <c r="Y76" s="92">
        <f>Y72/Y66</f>
        <v>2.3143979335645142</v>
      </c>
      <c r="Z76" s="92">
        <f t="shared" ref="Z76" si="85">Z72/Z66</f>
        <v>2.8686182516560761</v>
      </c>
      <c r="AA76" s="140"/>
    </row>
    <row r="77" spans="1:27" s="95" customFormat="1" x14ac:dyDescent="0.2">
      <c r="A77" s="94"/>
      <c r="B77" s="95" t="s">
        <v>135</v>
      </c>
      <c r="E77" s="96"/>
      <c r="G77" s="96"/>
      <c r="I77" s="96"/>
      <c r="K77" s="96"/>
      <c r="M77" s="96"/>
      <c r="O77" s="96"/>
      <c r="P77" s="198"/>
      <c r="Q77" s="161"/>
      <c r="S77" s="92">
        <f t="shared" ref="S77:W77" si="86">S73/S3</f>
        <v>1.5085249757068022</v>
      </c>
      <c r="T77" s="92">
        <f t="shared" si="86"/>
        <v>2.174426154710094</v>
      </c>
      <c r="U77" s="92">
        <f t="shared" si="86"/>
        <v>2.552468726150579</v>
      </c>
      <c r="V77" s="92">
        <f t="shared" si="86"/>
        <v>2.5248279366252482</v>
      </c>
      <c r="W77" s="92">
        <f t="shared" si="86"/>
        <v>2.4915485211480628</v>
      </c>
      <c r="X77" s="92">
        <f t="shared" ref="X77" si="87">X73/X3</f>
        <v>5.4847889402181478</v>
      </c>
      <c r="Y77" s="92">
        <f>Y73/Y3</f>
        <v>1.6535424198491799</v>
      </c>
      <c r="Z77" s="92">
        <f t="shared" ref="Z77" si="88">Z73/Z3</f>
        <v>1.9731236651602644</v>
      </c>
      <c r="AA77" s="140"/>
    </row>
    <row r="78" spans="1:27" x14ac:dyDescent="0.2">
      <c r="B78" s="1" t="s">
        <v>141</v>
      </c>
      <c r="X78" s="92">
        <f t="shared" ref="X78" si="89">X74/X3</f>
        <v>5.0682219795347674</v>
      </c>
      <c r="Y78" s="92">
        <f>Y74/Y3</f>
        <v>1.3641560741608643</v>
      </c>
      <c r="Z78" s="92">
        <f t="shared" ref="Z78" si="90">Z74/Z3</f>
        <v>1.7383527405826615</v>
      </c>
      <c r="AA78" s="140"/>
    </row>
    <row r="79" spans="1:27" x14ac:dyDescent="0.2">
      <c r="B79" s="1" t="s">
        <v>136</v>
      </c>
      <c r="P79" s="197">
        <f>P72/SUM(O13:P13)</f>
        <v>16.624188566150199</v>
      </c>
      <c r="S79" s="92">
        <f t="shared" ref="S79:W79" si="91">S72/S13</f>
        <v>133.19119042038895</v>
      </c>
      <c r="T79" s="92">
        <f t="shared" si="91"/>
        <v>13.652214631996477</v>
      </c>
      <c r="U79" s="92">
        <f t="shared" si="91"/>
        <v>16.380696337308347</v>
      </c>
      <c r="V79" s="92">
        <f t="shared" si="91"/>
        <v>14.71662553286964</v>
      </c>
      <c r="W79" s="92">
        <f t="shared" si="91"/>
        <v>142.9681123618769</v>
      </c>
      <c r="X79" s="92">
        <f t="shared" ref="X79" si="92">X72/X13</f>
        <v>228.14563625289284</v>
      </c>
      <c r="Y79" s="92">
        <f>Y72/Y13</f>
        <v>8.554082987476967</v>
      </c>
      <c r="Z79" s="92">
        <f t="shared" ref="Z79" si="93">Z72/Z13</f>
        <v>12.426675182278707</v>
      </c>
      <c r="AA79" s="140"/>
    </row>
    <row r="80" spans="1:27" x14ac:dyDescent="0.2">
      <c r="B80" s="1" t="s">
        <v>142</v>
      </c>
      <c r="X80" s="92">
        <f t="shared" ref="X80" si="94">X74/X12</f>
        <v>210.81808995659659</v>
      </c>
      <c r="Y80" s="92">
        <f>Y74/Y12</f>
        <v>7.0570335094924017</v>
      </c>
      <c r="Z80" s="92">
        <f t="shared" ref="Z80" si="95">Z74/Z12</f>
        <v>10.948094760036312</v>
      </c>
      <c r="AA80" s="140"/>
    </row>
    <row r="81" spans="1:2" x14ac:dyDescent="0.2">
      <c r="B81" s="1" t="s">
        <v>143</v>
      </c>
    </row>
    <row r="84" spans="1:2" x14ac:dyDescent="0.2">
      <c r="A84" s="3"/>
    </row>
    <row r="85" spans="1:2" x14ac:dyDescent="0.2">
      <c r="A85" s="3"/>
    </row>
  </sheetData>
  <hyperlinks>
    <hyperlink ref="L1" r:id="rId1" xr:uid="{B9683B42-B241-4D1D-8CE0-7A17859DA76B}"/>
    <hyperlink ref="X1" r:id="rId2" xr:uid="{05878C96-F10F-4982-ACE4-FF132CF4E29A}"/>
    <hyperlink ref="V1" r:id="rId3" xr:uid="{6765EA13-C896-4C06-BD01-2D2BC5D2014C}"/>
    <hyperlink ref="H1" r:id="rId4" xr:uid="{D3D9ED60-186F-274D-93DB-4D868CA2340E}"/>
    <hyperlink ref="T1" r:id="rId5" xr:uid="{9260496C-E59A-0143-BDFB-5C62E2643276}"/>
    <hyperlink ref="Y1" r:id="rId6" xr:uid="{D7D97D6D-2030-4F4C-B5FB-6BFE0FD9DC61}"/>
    <hyperlink ref="N1" r:id="rId7" xr:uid="{FC756CF2-3D82-4D5D-9DD4-F7502A0327A9}"/>
    <hyperlink ref="Z1" r:id="rId8" xr:uid="{F32AE00E-F68C-4DC8-A21B-34B62D129557}"/>
  </hyperlinks>
  <pageMargins left="0.7" right="0.7" top="0.75" bottom="0.75" header="0.3" footer="0.3"/>
  <pageSetup paperSize="256" orientation="portrait" horizontalDpi="203" verticalDpi="203" r:id="rId9"/>
  <ignoredErrors>
    <ignoredError sqref="K5 K8 K10:K11 I10:I11 I8 I5 G12 G10 G8 G5 M5:M13 AA12 AB11:AP11 O5:O11" formula="1"/>
    <ignoredError sqref="AA6" formulaRange="1"/>
  </ignoredErrors>
  <drawing r:id="rId10"/>
  <legacyDrawing r:id="rId1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0A87-1093-914E-B5D4-E893EE3F79A8}">
  <dimension ref="A1:R72"/>
  <sheetViews>
    <sheetView workbookViewId="0">
      <selection activeCell="G41" sqref="G41"/>
    </sheetView>
  </sheetViews>
  <sheetFormatPr defaultColWidth="9.140625" defaultRowHeight="12.75" x14ac:dyDescent="0.2"/>
  <cols>
    <col min="1" max="1" width="9.140625" style="25"/>
    <col min="2" max="2" width="9.140625" style="114"/>
    <col min="3" max="17" width="9.140625" style="1"/>
    <col min="18" max="18" width="9.140625" style="114"/>
    <col min="19" max="16384" width="9.140625" style="1"/>
  </cols>
  <sheetData>
    <row r="1" spans="1:18" x14ac:dyDescent="0.2">
      <c r="A1" s="24" t="s">
        <v>19</v>
      </c>
      <c r="B1" s="98" t="s">
        <v>19</v>
      </c>
      <c r="Q1" s="28" t="s">
        <v>23</v>
      </c>
      <c r="R1" s="115" t="s">
        <v>23</v>
      </c>
    </row>
    <row r="2" spans="1:18" x14ac:dyDescent="0.2">
      <c r="A2" s="35">
        <v>44834</v>
      </c>
      <c r="B2" s="99" t="s">
        <v>67</v>
      </c>
      <c r="Q2" s="22">
        <v>44834</v>
      </c>
      <c r="R2" s="116" t="s">
        <v>67</v>
      </c>
    </row>
    <row r="3" spans="1:18" x14ac:dyDescent="0.2">
      <c r="A3" s="30">
        <v>93.568000000000012</v>
      </c>
      <c r="B3" s="100">
        <v>158.58780000000002</v>
      </c>
      <c r="Q3" s="12">
        <v>193.74100000000001</v>
      </c>
      <c r="R3" s="117">
        <v>258.76080000000002</v>
      </c>
    </row>
    <row r="4" spans="1:18" x14ac:dyDescent="0.2">
      <c r="A4" s="31">
        <v>15.750999999999999</v>
      </c>
      <c r="B4" s="101">
        <v>22.585512000000008</v>
      </c>
      <c r="Q4" s="14">
        <v>29.391999999999999</v>
      </c>
      <c r="R4" s="118">
        <v>36.226512000000007</v>
      </c>
    </row>
    <row r="5" spans="1:18" x14ac:dyDescent="0.2">
      <c r="A5" s="30">
        <v>77.817000000000007</v>
      </c>
      <c r="B5" s="102">
        <v>136.00228800000002</v>
      </c>
      <c r="Q5" s="12">
        <v>164.34900000000002</v>
      </c>
      <c r="R5" s="119">
        <v>222.534288</v>
      </c>
    </row>
    <row r="6" spans="1:18" x14ac:dyDescent="0.2">
      <c r="A6" s="31">
        <v>3.9E-2</v>
      </c>
      <c r="B6" s="101">
        <v>0.4</v>
      </c>
      <c r="Q6" s="14">
        <v>3.9E-2</v>
      </c>
      <c r="R6" s="114">
        <v>0.4</v>
      </c>
    </row>
    <row r="7" spans="1:18" x14ac:dyDescent="0.2">
      <c r="A7" s="31">
        <v>60.022999999999996</v>
      </c>
      <c r="B7" s="101">
        <v>84.6045728</v>
      </c>
      <c r="Q7" s="14">
        <v>108.93899999999999</v>
      </c>
      <c r="R7" s="118">
        <v>133.5205728</v>
      </c>
    </row>
    <row r="8" spans="1:18" x14ac:dyDescent="0.2">
      <c r="A8" s="30">
        <v>17.833000000000013</v>
      </c>
      <c r="B8" s="102">
        <v>51.797715200000027</v>
      </c>
      <c r="Q8" s="12">
        <v>55.449000000000012</v>
      </c>
      <c r="R8" s="119">
        <v>89.413715200000013</v>
      </c>
    </row>
    <row r="9" spans="1:18" x14ac:dyDescent="0.2">
      <c r="A9" s="31">
        <v>4.6049999999999986</v>
      </c>
      <c r="B9" s="101">
        <v>-1.0790000000000002</v>
      </c>
      <c r="Q9" s="14">
        <v>8.7839999999999989</v>
      </c>
      <c r="R9" s="118">
        <v>3.1</v>
      </c>
    </row>
    <row r="10" spans="1:18" x14ac:dyDescent="0.2">
      <c r="A10" s="31">
        <v>13.228000000000014</v>
      </c>
      <c r="B10" s="103">
        <v>52.876715200000028</v>
      </c>
      <c r="Q10" s="14">
        <v>46.665000000000013</v>
      </c>
      <c r="R10" s="120">
        <v>86.313715200000019</v>
      </c>
    </row>
    <row r="11" spans="1:18" x14ac:dyDescent="0.2">
      <c r="A11" s="31">
        <v>2.8020000000000005</v>
      </c>
      <c r="B11" s="101">
        <v>3.9384320000000015</v>
      </c>
      <c r="Q11" s="14">
        <v>9.2140000000000004</v>
      </c>
      <c r="R11" s="118">
        <v>10.350432000000001</v>
      </c>
    </row>
    <row r="12" spans="1:18" x14ac:dyDescent="0.2">
      <c r="A12" s="30">
        <v>10.426000000000013</v>
      </c>
      <c r="B12" s="102">
        <v>48.938283200000029</v>
      </c>
      <c r="Q12" s="12">
        <v>37.451000000000015</v>
      </c>
      <c r="R12" s="119">
        <v>75.963283200000021</v>
      </c>
    </row>
    <row r="13" spans="1:18" x14ac:dyDescent="0.2">
      <c r="A13" s="33">
        <v>6.0988847885565384E-2</v>
      </c>
      <c r="B13" s="104">
        <v>0.29730235065240646</v>
      </c>
      <c r="P13" s="23"/>
      <c r="Q13" s="26">
        <v>0.21907666815291649</v>
      </c>
      <c r="R13" s="121">
        <v>0.46148048484533777</v>
      </c>
    </row>
    <row r="14" spans="1:18" x14ac:dyDescent="0.2">
      <c r="A14" s="32">
        <v>170.949286</v>
      </c>
      <c r="B14" s="101">
        <v>164.60779099999999</v>
      </c>
      <c r="Q14" s="27">
        <v>170.949286</v>
      </c>
      <c r="R14" s="118">
        <v>164.60779099999999</v>
      </c>
    </row>
    <row r="15" spans="1:18" x14ac:dyDescent="0.2">
      <c r="B15" s="105"/>
    </row>
    <row r="16" spans="1:18" x14ac:dyDescent="0.2">
      <c r="A16" s="34">
        <v>0.83166253419972636</v>
      </c>
      <c r="B16" s="106">
        <v>0.857583546779765</v>
      </c>
      <c r="Q16" s="23">
        <v>0.84829230777171583</v>
      </c>
      <c r="R16" s="122">
        <v>0.86</v>
      </c>
    </row>
    <row r="17" spans="1:18" x14ac:dyDescent="0.2">
      <c r="A17" s="34">
        <v>0.19058866279069778</v>
      </c>
      <c r="B17" s="106">
        <v>0.32661853686096926</v>
      </c>
      <c r="Q17" s="23">
        <v>0.28620168162650139</v>
      </c>
      <c r="R17" s="122">
        <v>0.34554582919824023</v>
      </c>
    </row>
    <row r="18" spans="1:18" x14ac:dyDescent="0.2">
      <c r="A18" s="34">
        <v>0.11142698358413144</v>
      </c>
      <c r="B18" s="106">
        <v>0.3085879443437643</v>
      </c>
      <c r="Q18" s="23">
        <v>0.19330446317506367</v>
      </c>
      <c r="R18" s="122">
        <v>0.29356565291187853</v>
      </c>
    </row>
    <row r="19" spans="1:18" x14ac:dyDescent="0.2">
      <c r="A19" s="34">
        <v>0.21182340489869955</v>
      </c>
      <c r="B19" s="106">
        <v>7.4483295437383745E-2</v>
      </c>
      <c r="Q19" s="23">
        <v>0.19744990892531872</v>
      </c>
      <c r="R19" s="122">
        <v>0.11991642320130369</v>
      </c>
    </row>
    <row r="20" spans="1:18" x14ac:dyDescent="0.2">
      <c r="B20" s="105"/>
    </row>
    <row r="21" spans="1:18" x14ac:dyDescent="0.2">
      <c r="A21" s="34">
        <v>0.5227927414761171</v>
      </c>
      <c r="B21" s="106">
        <v>1.5809716006184393</v>
      </c>
      <c r="Q21" s="23">
        <v>1.6954144522663404</v>
      </c>
      <c r="R21" s="122">
        <v>2.6</v>
      </c>
    </row>
    <row r="22" spans="1:18" x14ac:dyDescent="0.2">
      <c r="A22" s="34">
        <v>-6.5935930839647328E-2</v>
      </c>
      <c r="B22" s="106">
        <v>0.58313916923721965</v>
      </c>
      <c r="Q22" s="38" t="s">
        <v>71</v>
      </c>
      <c r="R22" s="123" t="s">
        <v>71</v>
      </c>
    </row>
    <row r="23" spans="1:18" x14ac:dyDescent="0.2">
      <c r="A23" s="34"/>
      <c r="B23" s="106"/>
      <c r="Q23" s="38"/>
      <c r="R23" s="123"/>
    </row>
    <row r="24" spans="1:18" x14ac:dyDescent="0.2">
      <c r="A24" s="34"/>
      <c r="B24" s="106"/>
      <c r="Q24" s="38"/>
      <c r="R24" s="123"/>
    </row>
    <row r="25" spans="1:18" x14ac:dyDescent="0.2">
      <c r="A25" s="53"/>
      <c r="B25" s="107"/>
      <c r="Q25" s="10"/>
      <c r="R25" s="115"/>
    </row>
    <row r="26" spans="1:18" x14ac:dyDescent="0.2">
      <c r="A26" s="34"/>
      <c r="B26" s="106"/>
      <c r="Q26" s="38"/>
      <c r="R26" s="123"/>
    </row>
    <row r="27" spans="1:18" x14ac:dyDescent="0.2">
      <c r="B27" s="105"/>
    </row>
    <row r="28" spans="1:18" x14ac:dyDescent="0.2">
      <c r="A28" s="56"/>
      <c r="B28" s="108"/>
      <c r="Q28" s="52"/>
      <c r="R28" s="124"/>
    </row>
    <row r="29" spans="1:18" x14ac:dyDescent="0.2">
      <c r="A29" s="74"/>
      <c r="B29" s="109"/>
      <c r="Q29" s="80"/>
      <c r="R29" s="125"/>
    </row>
    <row r="30" spans="1:18" x14ac:dyDescent="0.2">
      <c r="A30" s="69"/>
      <c r="B30" s="110"/>
      <c r="Q30" s="70"/>
      <c r="R30" s="126"/>
    </row>
    <row r="31" spans="1:18" x14ac:dyDescent="0.2">
      <c r="A31" s="77"/>
      <c r="B31" s="111"/>
      <c r="Q31" s="75"/>
      <c r="R31" s="127"/>
    </row>
    <row r="32" spans="1:18" x14ac:dyDescent="0.2">
      <c r="B32" s="105"/>
    </row>
    <row r="33" spans="1:18" x14ac:dyDescent="0.2">
      <c r="B33" s="105"/>
    </row>
    <row r="34" spans="1:18" x14ac:dyDescent="0.2">
      <c r="B34" s="105"/>
    </row>
    <row r="35" spans="1:18" x14ac:dyDescent="0.2">
      <c r="A35" s="31"/>
      <c r="B35" s="105"/>
    </row>
    <row r="36" spans="1:18" x14ac:dyDescent="0.2">
      <c r="A36" s="31"/>
      <c r="B36" s="105"/>
    </row>
    <row r="37" spans="1:18" x14ac:dyDescent="0.2">
      <c r="A37" s="31"/>
      <c r="B37" s="105"/>
    </row>
    <row r="38" spans="1:18" x14ac:dyDescent="0.2">
      <c r="A38" s="31"/>
      <c r="B38" s="105"/>
    </row>
    <row r="39" spans="1:18" x14ac:dyDescent="0.2">
      <c r="A39" s="31"/>
      <c r="B39" s="105"/>
    </row>
    <row r="40" spans="1:18" x14ac:dyDescent="0.2">
      <c r="A40" s="30"/>
      <c r="B40" s="112"/>
      <c r="Q40" s="3"/>
      <c r="R40" s="128"/>
    </row>
    <row r="41" spans="1:18" x14ac:dyDescent="0.2">
      <c r="A41" s="31"/>
      <c r="B41" s="105"/>
    </row>
    <row r="42" spans="1:18" x14ac:dyDescent="0.2">
      <c r="A42" s="31"/>
      <c r="B42" s="105"/>
    </row>
    <row r="43" spans="1:18" x14ac:dyDescent="0.2">
      <c r="A43" s="31"/>
      <c r="B43" s="105"/>
    </row>
    <row r="44" spans="1:18" x14ac:dyDescent="0.2">
      <c r="A44" s="31"/>
      <c r="B44" s="105"/>
    </row>
    <row r="45" spans="1:18" x14ac:dyDescent="0.2">
      <c r="A45" s="31"/>
      <c r="B45" s="105"/>
    </row>
    <row r="46" spans="1:18" x14ac:dyDescent="0.2">
      <c r="A46" s="31"/>
      <c r="B46" s="105"/>
    </row>
    <row r="47" spans="1:18" x14ac:dyDescent="0.2">
      <c r="A47" s="31"/>
      <c r="B47" s="105"/>
    </row>
    <row r="48" spans="1:18" x14ac:dyDescent="0.2">
      <c r="A48" s="31"/>
      <c r="B48" s="105"/>
    </row>
    <row r="49" spans="1:18" x14ac:dyDescent="0.2">
      <c r="A49" s="30"/>
      <c r="B49" s="112"/>
      <c r="Q49" s="3"/>
      <c r="R49" s="128"/>
    </row>
    <row r="50" spans="1:18" x14ac:dyDescent="0.2">
      <c r="A50" s="31"/>
      <c r="B50" s="105"/>
    </row>
    <row r="51" spans="1:18" x14ac:dyDescent="0.2">
      <c r="A51" s="31"/>
      <c r="B51" s="105"/>
    </row>
    <row r="52" spans="1:18" x14ac:dyDescent="0.2">
      <c r="A52" s="31"/>
      <c r="B52" s="105"/>
    </row>
    <row r="53" spans="1:18" x14ac:dyDescent="0.2">
      <c r="A53" s="30"/>
      <c r="B53" s="112"/>
      <c r="Q53" s="3"/>
      <c r="R53" s="128"/>
    </row>
    <row r="54" spans="1:18" x14ac:dyDescent="0.2">
      <c r="A54" s="31"/>
      <c r="B54" s="105"/>
    </row>
    <row r="55" spans="1:18" x14ac:dyDescent="0.2">
      <c r="A55" s="31"/>
      <c r="B55" s="105"/>
    </row>
    <row r="56" spans="1:18" x14ac:dyDescent="0.2">
      <c r="B56" s="105"/>
    </row>
    <row r="57" spans="1:18" x14ac:dyDescent="0.2">
      <c r="A57" s="31"/>
      <c r="B57" s="105"/>
    </row>
    <row r="58" spans="1:18" x14ac:dyDescent="0.2">
      <c r="A58" s="31"/>
      <c r="B58" s="105"/>
    </row>
    <row r="59" spans="1:18" x14ac:dyDescent="0.2">
      <c r="B59" s="105"/>
    </row>
    <row r="60" spans="1:18" x14ac:dyDescent="0.2">
      <c r="A60" s="31"/>
      <c r="B60" s="105"/>
    </row>
    <row r="61" spans="1:18" x14ac:dyDescent="0.2">
      <c r="B61" s="105"/>
    </row>
    <row r="62" spans="1:18" x14ac:dyDescent="0.2">
      <c r="B62" s="105"/>
    </row>
    <row r="63" spans="1:18" x14ac:dyDescent="0.2">
      <c r="B63" s="105"/>
    </row>
    <row r="64" spans="1:18" x14ac:dyDescent="0.2">
      <c r="A64" s="96"/>
      <c r="B64" s="113"/>
      <c r="Q64" s="95"/>
      <c r="R64" s="129"/>
    </row>
    <row r="65" spans="2:2" x14ac:dyDescent="0.2">
      <c r="B65" s="105"/>
    </row>
    <row r="66" spans="2:2" x14ac:dyDescent="0.2">
      <c r="B66" s="105"/>
    </row>
    <row r="67" spans="2:2" x14ac:dyDescent="0.2">
      <c r="B67" s="105"/>
    </row>
    <row r="68" spans="2:2" x14ac:dyDescent="0.2">
      <c r="B68" s="105"/>
    </row>
    <row r="69" spans="2:2" x14ac:dyDescent="0.2">
      <c r="B69" s="105"/>
    </row>
    <row r="70" spans="2:2" x14ac:dyDescent="0.2">
      <c r="B70" s="105"/>
    </row>
    <row r="71" spans="2:2" x14ac:dyDescent="0.2">
      <c r="B71" s="105"/>
    </row>
    <row r="72" spans="2:2" x14ac:dyDescent="0.2">
      <c r="B72" s="105"/>
    </row>
  </sheetData>
  <hyperlinks>
    <hyperlink ref="Q1" r:id="rId1" xr:uid="{3C5B4340-AAC9-3548-AD3D-C0BD764B3230}"/>
  </hyperlinks>
  <pageMargins left="0.7" right="0.7" top="0.75" bottom="0.75" header="0.3" footer="0.3"/>
  <pageSetup paperSize="256" orientation="portrait" horizontalDpi="203" verticalDpi="203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Financial Model</vt:lpstr>
      <vt:lpstr>Historical Projections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2022-07-04T18:22:12Z</dcterms:created>
  <dcterms:modified xsi:type="dcterms:W3CDTF">2024-06-06T11:33:48Z</dcterms:modified>
</cp:coreProperties>
</file>