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75092EB-F279-495C-858B-3096B70283A1}" xr6:coauthVersionLast="36" xr6:coauthVersionMax="36" xr10:uidLastSave="{00000000-0000-0000-0000-000000000000}"/>
  <bookViews>
    <workbookView xWindow="0" yWindow="0" windowWidth="21570" windowHeight="7980" activeTab="1" xr2:uid="{0B0D3E06-E58D-4F1F-A8B8-3BC216B2A3D5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2" l="1"/>
  <c r="W22" i="2"/>
  <c r="W4" i="2"/>
  <c r="W6" i="2" s="1"/>
  <c r="U105" i="2" l="1"/>
  <c r="T105" i="2"/>
  <c r="S105" i="2"/>
  <c r="V105" i="2"/>
  <c r="U103" i="2"/>
  <c r="T103" i="2"/>
  <c r="S103" i="2"/>
  <c r="U102" i="2"/>
  <c r="T102" i="2"/>
  <c r="S102" i="2"/>
  <c r="V103" i="2"/>
  <c r="V102" i="2"/>
  <c r="U101" i="2"/>
  <c r="T101" i="2"/>
  <c r="S101" i="2"/>
  <c r="V101" i="2"/>
  <c r="U100" i="2"/>
  <c r="T100" i="2"/>
  <c r="S100" i="2"/>
  <c r="V100" i="2"/>
  <c r="U99" i="2"/>
  <c r="T99" i="2"/>
  <c r="S99" i="2"/>
  <c r="V99" i="2"/>
  <c r="T95" i="2"/>
  <c r="T96" i="2" s="1"/>
  <c r="S95" i="2"/>
  <c r="S96" i="2" s="1"/>
  <c r="V40" i="2"/>
  <c r="U40" i="2"/>
  <c r="S92" i="2"/>
  <c r="T90" i="2"/>
  <c r="S87" i="2"/>
  <c r="S86" i="2"/>
  <c r="S83" i="2"/>
  <c r="S84" i="2" s="1"/>
  <c r="S75" i="2"/>
  <c r="S72" i="2"/>
  <c r="S68" i="2"/>
  <c r="S53" i="2"/>
  <c r="T92" i="2" l="1"/>
  <c r="U90" i="2"/>
  <c r="T87" i="2"/>
  <c r="T86" i="2"/>
  <c r="T83" i="2"/>
  <c r="T84" i="2" s="1"/>
  <c r="T81" i="2"/>
  <c r="T53" i="2"/>
  <c r="T40" i="2"/>
  <c r="T21" i="2"/>
  <c r="S21" i="2"/>
  <c r="T24" i="2"/>
  <c r="S30" i="2"/>
  <c r="S29" i="2"/>
  <c r="S28" i="2"/>
  <c r="S27" i="2"/>
  <c r="S13" i="2"/>
  <c r="S7" i="2"/>
  <c r="U24" i="2"/>
  <c r="T30" i="2"/>
  <c r="T29" i="2"/>
  <c r="T28" i="2"/>
  <c r="T27" i="2"/>
  <c r="R20" i="2"/>
  <c r="Q20" i="2"/>
  <c r="P20" i="2"/>
  <c r="O20" i="2"/>
  <c r="R16" i="2"/>
  <c r="Q16" i="2"/>
  <c r="P16" i="2"/>
  <c r="O16" i="2"/>
  <c r="R14" i="2"/>
  <c r="Q14" i="2"/>
  <c r="P14" i="2"/>
  <c r="O14" i="2"/>
  <c r="R10" i="2"/>
  <c r="Q10" i="2"/>
  <c r="P10" i="2"/>
  <c r="O10" i="2"/>
  <c r="T8" i="2"/>
  <c r="T10" i="2" s="1"/>
  <c r="T14" i="2" s="1"/>
  <c r="T16" i="2" s="1"/>
  <c r="T20" i="2" s="1"/>
  <c r="R8" i="2"/>
  <c r="Q8" i="2"/>
  <c r="P8" i="2"/>
  <c r="O8" i="2"/>
  <c r="S6" i="2"/>
  <c r="S8" i="2" s="1"/>
  <c r="S10" i="2" s="1"/>
  <c r="S14" i="2" s="1"/>
  <c r="S16" i="2" s="1"/>
  <c r="S20" i="2" s="1"/>
  <c r="R6" i="2"/>
  <c r="Q6" i="2"/>
  <c r="P6" i="2"/>
  <c r="O6" i="2"/>
  <c r="T6" i="2"/>
  <c r="U95" i="2" l="1"/>
  <c r="V96" i="2"/>
  <c r="V95" i="2"/>
  <c r="C10" i="1"/>
  <c r="C9" i="1"/>
  <c r="C28" i="1"/>
  <c r="U92" i="2"/>
  <c r="V92" i="2"/>
  <c r="U46" i="2" l="1"/>
  <c r="T46" i="2"/>
  <c r="S46" i="2"/>
  <c r="R46" i="2"/>
  <c r="Q46" i="2"/>
  <c r="P46" i="2"/>
  <c r="P42" i="2" s="1"/>
  <c r="O46" i="2"/>
  <c r="U43" i="2"/>
  <c r="T43" i="2"/>
  <c r="S43" i="2"/>
  <c r="R43" i="2"/>
  <c r="Q43" i="2"/>
  <c r="P43" i="2"/>
  <c r="O43" i="2"/>
  <c r="U42" i="2"/>
  <c r="T42" i="2"/>
  <c r="S42" i="2"/>
  <c r="R42" i="2"/>
  <c r="Q42" i="2"/>
  <c r="O42" i="2"/>
  <c r="R34" i="2"/>
  <c r="Q34" i="2"/>
  <c r="P34" i="2"/>
  <c r="O34" i="2"/>
  <c r="U38" i="2"/>
  <c r="T38" i="2"/>
  <c r="S38" i="2"/>
  <c r="R38" i="2"/>
  <c r="Q38" i="2"/>
  <c r="P38" i="2"/>
  <c r="O38" i="2"/>
  <c r="U35" i="2"/>
  <c r="T35" i="2"/>
  <c r="T34" i="2" s="1"/>
  <c r="S35" i="2"/>
  <c r="R35" i="2"/>
  <c r="Q35" i="2"/>
  <c r="P35" i="2"/>
  <c r="O35" i="2"/>
  <c r="C35" i="1"/>
  <c r="V90" i="2"/>
  <c r="U87" i="2"/>
  <c r="V87" i="2"/>
  <c r="U86" i="2"/>
  <c r="V86" i="2"/>
  <c r="U84" i="2"/>
  <c r="V84" i="2"/>
  <c r="U83" i="2"/>
  <c r="V83" i="2"/>
  <c r="U81" i="2"/>
  <c r="V81" i="2"/>
  <c r="U53" i="2"/>
  <c r="V53" i="2"/>
  <c r="U34" i="2" l="1"/>
  <c r="S34" i="2"/>
  <c r="U88" i="2"/>
  <c r="U96" i="2" s="1"/>
  <c r="T88" i="2"/>
  <c r="S88" i="2"/>
  <c r="R88" i="2"/>
  <c r="Q88" i="2"/>
  <c r="P88" i="2"/>
  <c r="O88" i="2"/>
  <c r="V88" i="2"/>
  <c r="P78" i="2"/>
  <c r="O78" i="2"/>
  <c r="U71" i="2"/>
  <c r="U78" i="2" s="1"/>
  <c r="T71" i="2"/>
  <c r="T78" i="2" s="1"/>
  <c r="S71" i="2"/>
  <c r="S78" i="2" s="1"/>
  <c r="S81" i="2" s="1"/>
  <c r="R71" i="2"/>
  <c r="R78" i="2" s="1"/>
  <c r="Q71" i="2"/>
  <c r="Q78" i="2" s="1"/>
  <c r="P71" i="2"/>
  <c r="O71" i="2"/>
  <c r="R65" i="2"/>
  <c r="Q65" i="2"/>
  <c r="P65" i="2"/>
  <c r="O65" i="2"/>
  <c r="U59" i="2"/>
  <c r="U65" i="2" s="1"/>
  <c r="T59" i="2"/>
  <c r="T65" i="2" s="1"/>
  <c r="S59" i="2"/>
  <c r="S65" i="2" s="1"/>
  <c r="R59" i="2"/>
  <c r="Q59" i="2"/>
  <c r="P59" i="2"/>
  <c r="O59" i="2"/>
  <c r="V71" i="2"/>
  <c r="V78" i="2" s="1"/>
  <c r="V59" i="2"/>
  <c r="V65" i="2" s="1"/>
  <c r="V34" i="2"/>
  <c r="C27" i="1" s="1"/>
  <c r="V35" i="2"/>
  <c r="V38" i="2"/>
  <c r="V43" i="2"/>
  <c r="V46" i="2"/>
  <c r="D11" i="1"/>
  <c r="D10" i="1"/>
  <c r="D9" i="1"/>
  <c r="D7" i="1"/>
  <c r="C7" i="1"/>
  <c r="C8" i="1" s="1"/>
  <c r="V24" i="2"/>
  <c r="U6" i="2"/>
  <c r="U27" i="2" s="1"/>
  <c r="V6" i="2"/>
  <c r="V8" i="2" s="1"/>
  <c r="C11" i="1"/>
  <c r="C12" i="1" l="1"/>
  <c r="V27" i="2"/>
  <c r="V10" i="2"/>
  <c r="V14" i="2" s="1"/>
  <c r="V28" i="2"/>
  <c r="U8" i="2"/>
  <c r="V42" i="2"/>
  <c r="C36" i="1"/>
  <c r="C39" i="1" l="1"/>
  <c r="C37" i="1"/>
  <c r="V16" i="2"/>
  <c r="V30" i="2"/>
  <c r="U28" i="2"/>
  <c r="U10" i="2"/>
  <c r="U14" i="2" s="1"/>
  <c r="V29" i="2" l="1"/>
  <c r="V20" i="2"/>
  <c r="V21" i="2" s="1"/>
  <c r="C38" i="1" s="1"/>
  <c r="U16" i="2"/>
  <c r="U30" i="2"/>
  <c r="U20" i="2" l="1"/>
  <c r="U21" i="2" s="1"/>
  <c r="U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S7" authorId="0" shapeId="0" xr:uid="{96D9B0BA-09B7-4C96-B6B1-D3F9AE78D2E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Gain on sale and leaseback of the Bedford warehouse</t>
        </r>
      </text>
    </comment>
  </commentList>
</comments>
</file>

<file path=xl/sharedStrings.xml><?xml version="1.0" encoding="utf-8"?>
<sst xmlns="http://schemas.openxmlformats.org/spreadsheetml/2006/main" count="171" uniqueCount="132">
  <si>
    <t>£BME</t>
  </si>
  <si>
    <t>B&amp;M European Value Retal S.A.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</si>
  <si>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</si>
  <si>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</si>
  <si>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</si>
  <si>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</si>
  <si>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</si>
  <si>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</si>
  <si>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</si>
  <si>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</si>
  <si>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</si>
  <si>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</si>
  <si>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</si>
  <si>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</si>
  <si>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</si>
  <si>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</si>
  <si>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</si>
  <si>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IPO</t>
  </si>
  <si>
    <t>Stores</t>
  </si>
  <si>
    <t>Inventory</t>
  </si>
  <si>
    <t>Update</t>
  </si>
  <si>
    <t>IR</t>
  </si>
  <si>
    <t>Alejandro Russo</t>
  </si>
  <si>
    <t>Mike Schmidt</t>
  </si>
  <si>
    <t>UK Head</t>
  </si>
  <si>
    <t>James Kew</t>
  </si>
  <si>
    <t>B&amp;M</t>
  </si>
  <si>
    <t>Heron Foods</t>
  </si>
  <si>
    <t>Wilko!?</t>
  </si>
  <si>
    <t>Luxembourg/Liverpool</t>
  </si>
  <si>
    <t>Valuation Metrics</t>
  </si>
  <si>
    <t>P/B</t>
  </si>
  <si>
    <t>P/S</t>
  </si>
  <si>
    <t>EV/S</t>
  </si>
  <si>
    <t>P/E</t>
  </si>
  <si>
    <t>EV/E</t>
  </si>
  <si>
    <t>ROCE</t>
  </si>
  <si>
    <t xml:space="preserve"> </t>
  </si>
  <si>
    <t>Link</t>
  </si>
  <si>
    <t>Non-Finance Metrics</t>
  </si>
  <si>
    <t>Store Count</t>
  </si>
  <si>
    <t>Headcount</t>
  </si>
  <si>
    <t>Revenue</t>
  </si>
  <si>
    <t>COGS</t>
  </si>
  <si>
    <t>Gross Profit</t>
  </si>
  <si>
    <t>FY23</t>
  </si>
  <si>
    <t>Administrative Expenses</t>
  </si>
  <si>
    <t>Operating Income</t>
  </si>
  <si>
    <t>Share of Profits in Associates</t>
  </si>
  <si>
    <t>Profit on Ordinary Activities</t>
  </si>
  <si>
    <t>Finance Costs on Lease</t>
  </si>
  <si>
    <t>Other Finance Costs</t>
  </si>
  <si>
    <t>Finance Income</t>
  </si>
  <si>
    <t>Pretax Income</t>
  </si>
  <si>
    <t>Taxes</t>
  </si>
  <si>
    <t>Net Income</t>
  </si>
  <si>
    <t>Fair Value Movement in Hedging</t>
  </si>
  <si>
    <t>Exchange Differences</t>
  </si>
  <si>
    <t>Tax Effect of Other Income</t>
  </si>
  <si>
    <t>Total Comprehensive Income</t>
  </si>
  <si>
    <t>EPS</t>
  </si>
  <si>
    <t>Revenue Y/Y</t>
  </si>
  <si>
    <t>Revenue H/H</t>
  </si>
  <si>
    <t>Gross Margin</t>
  </si>
  <si>
    <t>Operating Margin</t>
  </si>
  <si>
    <t>Net Margin</t>
  </si>
  <si>
    <t>Tax Rate</t>
  </si>
  <si>
    <t>FY22</t>
  </si>
  <si>
    <t>FY21</t>
  </si>
  <si>
    <t>FY20</t>
  </si>
  <si>
    <t>FY19</t>
  </si>
  <si>
    <t>FY18</t>
  </si>
  <si>
    <t>FY17</t>
  </si>
  <si>
    <t>FY16</t>
  </si>
  <si>
    <t>-</t>
  </si>
  <si>
    <t>UK</t>
  </si>
  <si>
    <t>France</t>
  </si>
  <si>
    <t>Headcount Y/Y</t>
  </si>
  <si>
    <t>Store Count Y/Y</t>
  </si>
  <si>
    <t>Balance Sheet</t>
  </si>
  <si>
    <t>Goodwill+Intangibles</t>
  </si>
  <si>
    <t>PP&amp;E</t>
  </si>
  <si>
    <t>ROU Assets</t>
  </si>
  <si>
    <t>Investments in Associates</t>
  </si>
  <si>
    <t>Other Receivables</t>
  </si>
  <si>
    <t>Deferred Taxes</t>
  </si>
  <si>
    <t>Total NCA</t>
  </si>
  <si>
    <t>Cash at Bank &amp; In Hand</t>
  </si>
  <si>
    <t>Inventories</t>
  </si>
  <si>
    <t>Trade &amp; A/R</t>
  </si>
  <si>
    <t>Other Financial Assets</t>
  </si>
  <si>
    <t>Assets</t>
  </si>
  <si>
    <t>Loans &amp; Borrowings</t>
  </si>
  <si>
    <t>Trade &amp; A/P</t>
  </si>
  <si>
    <t>Lease Liabilities</t>
  </si>
  <si>
    <t>Other Financial Liabilities</t>
  </si>
  <si>
    <t>Income Tax Payable</t>
  </si>
  <si>
    <t>Provisions</t>
  </si>
  <si>
    <t>Liabilities</t>
  </si>
  <si>
    <t>Total NCL</t>
  </si>
  <si>
    <t>S/E</t>
  </si>
  <si>
    <t>S/E+L</t>
  </si>
  <si>
    <t>Book Value</t>
  </si>
  <si>
    <t>Book Value per Share</t>
  </si>
  <si>
    <t>Inventories Y/Y</t>
  </si>
  <si>
    <t>Inventories H/H</t>
  </si>
  <si>
    <t>Share Price</t>
  </si>
  <si>
    <t>Market Cap</t>
  </si>
  <si>
    <t>Income Tax Receivables</t>
  </si>
  <si>
    <t>Home Bargains</t>
  </si>
  <si>
    <t>The Range</t>
  </si>
  <si>
    <t>Poundstretcher</t>
  </si>
  <si>
    <t>Poundland</t>
  </si>
  <si>
    <t>Wilko(?)</t>
  </si>
  <si>
    <t>OneBelow</t>
  </si>
  <si>
    <t>Savers</t>
  </si>
  <si>
    <t>Competitors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</si>
  <si>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</si>
  <si>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</si>
  <si>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</si>
  <si>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</si>
  <si>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</si>
  <si>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</si>
  <si>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</si>
  <si>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</si>
  <si>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</si>
  <si>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Operations</t>
  </si>
  <si>
    <t>Inventory/Revenue</t>
  </si>
  <si>
    <t>Key Events</t>
  </si>
  <si>
    <t>B&amp;M announce acquisition of Heron Foods with CEO Simon Arora describing the deal as a 'No-Brainer'</t>
  </si>
  <si>
    <t>Debt/Equity</t>
  </si>
  <si>
    <t>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</si>
</sst>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71" formatCode="0.0\x"/>
    <numFmt numFmtId="173" formatCode="#,##0.00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/>
      <name val="Arial"/>
      <family val="2"/>
    </font>
    <font>
      <b/>
      <i/>
      <sz val="10"/>
      <color theme="1"/>
      <name val="Arial"/>
      <family val="2"/>
    </font>
    <font>
      <i/>
      <sz val="8"/>
      <color theme="1" tint="0.499984740745262"/>
      <name val="Arial"/>
      <family val="2"/>
    </font>
    <font>
      <b/>
      <i/>
      <sz val="10"/>
      <color theme="4"/>
      <name val="Arial"/>
      <family val="2"/>
    </font>
    <font>
      <i/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5" fillId="5" borderId="7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0" fontId="6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9" fontId="1" fillId="0" borderId="0" xfId="0" applyNumberFormat="1" applyFont="1"/>
    <xf numFmtId="9" fontId="2" fillId="0" borderId="0" xfId="0" applyNumberFormat="1" applyFont="1"/>
    <xf numFmtId="0" fontId="8" fillId="0" borderId="0" xfId="0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Border="1"/>
    <xf numFmtId="16" fontId="1" fillId="5" borderId="5" xfId="0" applyNumberFormat="1" applyFont="1" applyFill="1" applyBorder="1" applyAlignment="1">
      <alignment horizontal="center"/>
    </xf>
    <xf numFmtId="16" fontId="7" fillId="0" borderId="0" xfId="0" applyNumberFormat="1" applyFont="1" applyAlignment="1"/>
    <xf numFmtId="171" fontId="1" fillId="5" borderId="0" xfId="0" applyNumberFormat="1" applyFont="1" applyFill="1" applyBorder="1" applyAlignment="1">
      <alignment horizontal="center"/>
    </xf>
    <xf numFmtId="171" fontId="1" fillId="5" borderId="5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left" indent="1"/>
    </xf>
    <xf numFmtId="3" fontId="9" fillId="0" borderId="0" xfId="0" applyNumberFormat="1" applyFont="1" applyAlignment="1">
      <alignment horizontal="left" indent="2"/>
    </xf>
    <xf numFmtId="3" fontId="9" fillId="0" borderId="0" xfId="0" applyNumberFormat="1" applyFont="1"/>
    <xf numFmtId="0" fontId="10" fillId="0" borderId="0" xfId="0" applyFont="1"/>
    <xf numFmtId="3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/>
    </xf>
    <xf numFmtId="173" fontId="1" fillId="0" borderId="0" xfId="0" applyNumberFormat="1" applyFont="1"/>
    <xf numFmtId="3" fontId="9" fillId="6" borderId="0" xfId="0" applyNumberFormat="1" applyFont="1" applyFill="1"/>
    <xf numFmtId="9" fontId="1" fillId="0" borderId="0" xfId="0" applyNumberFormat="1" applyFont="1" applyAlignment="1">
      <alignment horizontal="right"/>
    </xf>
    <xf numFmtId="0" fontId="1" fillId="5" borderId="4" xfId="0" applyFont="1" applyFill="1" applyBorder="1" applyAlignment="1">
      <alignment horizontal="left" indent="1"/>
    </xf>
    <xf numFmtId="0" fontId="1" fillId="5" borderId="6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17" fontId="2" fillId="3" borderId="4" xfId="0" applyNumberFormat="1" applyFont="1" applyFill="1" applyBorder="1" applyAlignment="1">
      <alignment horizontal="center"/>
    </xf>
    <xf numFmtId="0" fontId="13" fillId="0" borderId="0" xfId="0" applyFont="1"/>
    <xf numFmtId="3" fontId="13" fillId="0" borderId="0" xfId="0" applyNumberFormat="1" applyFont="1"/>
    <xf numFmtId="171" fontId="10" fillId="0" borderId="0" xfId="0" applyNumberFormat="1" applyFont="1"/>
    <xf numFmtId="171" fontId="13" fillId="0" borderId="0" xfId="0" applyNumberFormat="1" applyFont="1"/>
    <xf numFmtId="0" fontId="2" fillId="4" borderId="0" xfId="0" applyFont="1" applyFill="1" applyAlignment="1">
      <alignment horizontal="right"/>
    </xf>
    <xf numFmtId="0" fontId="7" fillId="4" borderId="0" xfId="0" applyFont="1" applyFill="1" applyAlignment="1"/>
    <xf numFmtId="0" fontId="2" fillId="4" borderId="0" xfId="0" applyFont="1" applyFill="1"/>
    <xf numFmtId="0" fontId="1" fillId="4" borderId="0" xfId="0" applyFont="1" applyFill="1"/>
    <xf numFmtId="4" fontId="1" fillId="4" borderId="0" xfId="0" applyNumberFormat="1" applyFont="1" applyFill="1"/>
    <xf numFmtId="164" fontId="1" fillId="4" borderId="0" xfId="0" applyNumberFormat="1" applyFont="1" applyFill="1"/>
    <xf numFmtId="3" fontId="2" fillId="4" borderId="0" xfId="0" applyNumberFormat="1" applyFont="1" applyFill="1"/>
    <xf numFmtId="3" fontId="1" fillId="4" borderId="0" xfId="0" applyNumberFormat="1" applyFont="1" applyFill="1"/>
    <xf numFmtId="3" fontId="13" fillId="4" borderId="0" xfId="0" applyNumberFormat="1" applyFont="1" applyFill="1"/>
    <xf numFmtId="3" fontId="9" fillId="4" borderId="0" xfId="0" applyNumberFormat="1" applyFont="1" applyFill="1"/>
    <xf numFmtId="0" fontId="13" fillId="4" borderId="0" xfId="0" applyFont="1" applyFill="1"/>
    <xf numFmtId="173" fontId="1" fillId="4" borderId="0" xfId="0" applyNumberFormat="1" applyFont="1" applyFill="1"/>
    <xf numFmtId="0" fontId="10" fillId="4" borderId="0" xfId="0" applyFont="1" applyFill="1"/>
    <xf numFmtId="0" fontId="14" fillId="6" borderId="0" xfId="0" applyFont="1" applyFill="1" applyAlignment="1">
      <alignment horizontal="right"/>
    </xf>
    <xf numFmtId="0" fontId="15" fillId="6" borderId="0" xfId="0" applyFont="1" applyFill="1" applyAlignment="1"/>
    <xf numFmtId="0" fontId="9" fillId="6" borderId="0" xfId="0" applyFont="1" applyFill="1"/>
    <xf numFmtId="0" fontId="14" fillId="6" borderId="0" xfId="0" applyFont="1" applyFill="1"/>
    <xf numFmtId="4" fontId="9" fillId="6" borderId="0" xfId="0" applyNumberFormat="1" applyFont="1" applyFill="1"/>
    <xf numFmtId="164" fontId="9" fillId="6" borderId="0" xfId="0" applyNumberFormat="1" applyFont="1" applyFill="1"/>
    <xf numFmtId="9" fontId="14" fillId="6" borderId="0" xfId="0" applyNumberFormat="1" applyFont="1" applyFill="1"/>
    <xf numFmtId="3" fontId="14" fillId="6" borderId="0" xfId="0" applyNumberFormat="1" applyFont="1" applyFill="1"/>
    <xf numFmtId="3" fontId="16" fillId="6" borderId="0" xfId="0" applyNumberFormat="1" applyFont="1" applyFill="1"/>
    <xf numFmtId="0" fontId="16" fillId="6" borderId="0" xfId="0" applyFont="1" applyFill="1"/>
    <xf numFmtId="173" fontId="9" fillId="6" borderId="0" xfId="0" applyNumberFormat="1" applyFont="1" applyFill="1"/>
    <xf numFmtId="0" fontId="17" fillId="6" borderId="0" xfId="0" applyFont="1" applyFill="1"/>
    <xf numFmtId="0" fontId="15" fillId="6" borderId="0" xfId="0" applyFont="1" applyFill="1" applyAlignment="1">
      <alignment horizontal="right"/>
    </xf>
    <xf numFmtId="9" fontId="9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0</xdr:row>
      <xdr:rowOff>95251</xdr:rowOff>
    </xdr:from>
    <xdr:to>
      <xdr:col>5</xdr:col>
      <xdr:colOff>228600</xdr:colOff>
      <xdr:row>3</xdr:row>
      <xdr:rowOff>54787</xdr:rowOff>
    </xdr:to>
    <xdr:pic>
      <xdr:nvPicPr>
        <xdr:cNvPr id="2" name="Picture 1" descr="B&amp;M European Value Retail S.A. (BME) Dividends">
          <a:extLst>
            <a:ext uri="{FF2B5EF4-FFF2-40B4-BE49-F238E27FC236}">
              <a16:creationId xmlns:a16="http://schemas.microsoft.com/office/drawing/2014/main" id="{6AF7B391-A03A-4F0B-8B80-5F8E9DB17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380" b="10380"/>
        <a:stretch/>
      </xdr:blipFill>
      <xdr:spPr bwMode="auto">
        <a:xfrm>
          <a:off x="2714625" y="95251"/>
          <a:ext cx="561975" cy="44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9525</xdr:rowOff>
    </xdr:from>
    <xdr:to>
      <xdr:col>22</xdr:col>
      <xdr:colOff>9525</xdr:colOff>
      <xdr:row>115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1260B9-E3BF-4E6C-9810-25A66F7D23DE}"/>
            </a:ext>
          </a:extLst>
        </xdr:cNvPr>
        <xdr:cNvCxnSpPr/>
      </xdr:nvCxnSpPr>
      <xdr:spPr>
        <a:xfrm>
          <a:off x="14373225" y="9525"/>
          <a:ext cx="0" cy="18678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0</xdr:row>
      <xdr:rowOff>0</xdr:rowOff>
    </xdr:from>
    <xdr:to>
      <xdr:col>12</xdr:col>
      <xdr:colOff>9525</xdr:colOff>
      <xdr:row>115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FCFFDBB-DE79-4669-B109-8F34D5A3C9DB}"/>
            </a:ext>
          </a:extLst>
        </xdr:cNvPr>
        <xdr:cNvCxnSpPr/>
      </xdr:nvCxnSpPr>
      <xdr:spPr>
        <a:xfrm>
          <a:off x="8277225" y="0"/>
          <a:ext cx="0" cy="18678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dmretail.com/investors/presentations/year/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andmretail.com/sites/bmstores/files/reports/2021/fy21-prelims-announcement.pdf" TargetMode="External"/><Relationship Id="rId1" Type="http://schemas.openxmlformats.org/officeDocument/2006/relationships/hyperlink" Target="https://staticcontents.investis.com/html/b/bandmretail/annual-report-and-accounts-2023/index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2411-448F-49B1-B6D6-24D041947C33}">
  <dimension ref="B2:X40"/>
  <sheetViews>
    <sheetView workbookViewId="0">
      <selection activeCell="C36" sqref="C36:D36"/>
    </sheetView>
  </sheetViews>
  <sheetFormatPr defaultRowHeight="12.75" x14ac:dyDescent="0.2"/>
  <cols>
    <col min="1" max="16384" width="9.140625" style="1"/>
  </cols>
  <sheetData>
    <row r="2" spans="2:24" x14ac:dyDescent="0.2">
      <c r="B2" s="2" t="s">
        <v>0</v>
      </c>
    </row>
    <row r="3" spans="2:24" x14ac:dyDescent="0.2">
      <c r="B3" s="2" t="s">
        <v>1</v>
      </c>
    </row>
    <row r="4" spans="2:24" x14ac:dyDescent="0.2">
      <c r="T4" s="3" t="s">
        <v>126</v>
      </c>
      <c r="U4" s="5"/>
      <c r="W4" s="3" t="s">
        <v>116</v>
      </c>
      <c r="X4" s="5"/>
    </row>
    <row r="5" spans="2:24" x14ac:dyDescent="0.2">
      <c r="B5" s="3" t="s">
        <v>2</v>
      </c>
      <c r="C5" s="4"/>
      <c r="D5" s="5"/>
      <c r="F5" s="3" t="s">
        <v>128</v>
      </c>
      <c r="G5" s="4"/>
      <c r="H5" s="4"/>
      <c r="I5" s="4"/>
      <c r="J5" s="4"/>
      <c r="K5" s="4"/>
      <c r="L5" s="4"/>
      <c r="M5" s="4"/>
      <c r="N5" s="4"/>
      <c r="O5" s="4"/>
      <c r="P5" s="4"/>
      <c r="Q5" s="5"/>
      <c r="T5" s="56" t="s">
        <v>26</v>
      </c>
      <c r="U5" s="10"/>
      <c r="W5" s="56" t="s">
        <v>109</v>
      </c>
      <c r="X5" s="10"/>
    </row>
    <row r="6" spans="2:24" x14ac:dyDescent="0.2">
      <c r="B6" s="6" t="s">
        <v>3</v>
      </c>
      <c r="C6" s="7">
        <v>5.7348999999999997</v>
      </c>
      <c r="D6" s="24"/>
      <c r="F6" s="20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T6" s="56" t="s">
        <v>27</v>
      </c>
      <c r="U6" s="10"/>
      <c r="W6" s="56" t="s">
        <v>110</v>
      </c>
      <c r="X6" s="10"/>
    </row>
    <row r="7" spans="2:24" x14ac:dyDescent="0.2">
      <c r="B7" s="6" t="s">
        <v>4</v>
      </c>
      <c r="C7" s="42">
        <f>'Financial Model'!V22</f>
        <v>1001.593</v>
      </c>
      <c r="D7" s="24" t="str">
        <f>$C$30</f>
        <v>FY23</v>
      </c>
      <c r="F7" s="20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T7" s="56"/>
      <c r="U7" s="10"/>
      <c r="W7" s="56" t="s">
        <v>111</v>
      </c>
      <c r="X7" s="10"/>
    </row>
    <row r="8" spans="2:24" x14ac:dyDescent="0.2">
      <c r="B8" s="6" t="s">
        <v>5</v>
      </c>
      <c r="C8" s="22">
        <f>C6*C7</f>
        <v>5744.0356956999995</v>
      </c>
      <c r="D8" s="24"/>
      <c r="F8" s="20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T8" s="58" t="s">
        <v>28</v>
      </c>
      <c r="U8" s="12"/>
      <c r="W8" s="56" t="s">
        <v>112</v>
      </c>
      <c r="X8" s="10"/>
    </row>
    <row r="9" spans="2:24" x14ac:dyDescent="0.2">
      <c r="B9" s="6" t="s">
        <v>6</v>
      </c>
      <c r="C9" s="22">
        <f>+'Financial Model'!V86</f>
        <v>238</v>
      </c>
      <c r="D9" s="24" t="str">
        <f t="shared" ref="D9:D11" si="0">$C$30</f>
        <v>FY23</v>
      </c>
      <c r="F9" s="20"/>
      <c r="G9" s="9"/>
      <c r="H9" s="9"/>
      <c r="I9" s="9" t="s">
        <v>37</v>
      </c>
      <c r="J9" s="9"/>
      <c r="K9" s="9"/>
      <c r="L9" s="9"/>
      <c r="M9" s="9"/>
      <c r="N9" s="9"/>
      <c r="O9" s="9"/>
      <c r="P9" s="9"/>
      <c r="Q9" s="10"/>
      <c r="W9" s="56" t="s">
        <v>114</v>
      </c>
      <c r="X9" s="10"/>
    </row>
    <row r="10" spans="2:24" x14ac:dyDescent="0.2">
      <c r="B10" s="6" t="s">
        <v>7</v>
      </c>
      <c r="C10" s="22">
        <f>+'Financial Model'!V87</f>
        <v>954</v>
      </c>
      <c r="D10" s="24" t="str">
        <f t="shared" si="0"/>
        <v>FY23</v>
      </c>
      <c r="F10" s="20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W10" s="56" t="s">
        <v>113</v>
      </c>
      <c r="X10" s="10"/>
    </row>
    <row r="11" spans="2:24" x14ac:dyDescent="0.2">
      <c r="B11" s="6" t="s">
        <v>8</v>
      </c>
      <c r="C11" s="22">
        <f>C9-C10</f>
        <v>-716</v>
      </c>
      <c r="D11" s="24" t="str">
        <f t="shared" si="0"/>
        <v>FY23</v>
      </c>
      <c r="F11" s="20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W11" s="57" t="s">
        <v>115</v>
      </c>
      <c r="X11" s="12"/>
    </row>
    <row r="12" spans="2:24" x14ac:dyDescent="0.2">
      <c r="B12" s="8" t="s">
        <v>9</v>
      </c>
      <c r="C12" s="23">
        <f>C8-C11</f>
        <v>6460.0356956999995</v>
      </c>
      <c r="D12" s="25"/>
      <c r="F12" s="20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2:24" x14ac:dyDescent="0.2">
      <c r="F13" s="20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2:24" x14ac:dyDescent="0.2">
      <c r="F14" s="20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2:24" x14ac:dyDescent="0.2">
      <c r="B15" s="3" t="s">
        <v>10</v>
      </c>
      <c r="C15" s="4"/>
      <c r="D15" s="5"/>
      <c r="F15" s="20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2:24" x14ac:dyDescent="0.2">
      <c r="B16" s="13" t="s">
        <v>11</v>
      </c>
      <c r="C16" s="16" t="s">
        <v>22</v>
      </c>
      <c r="D16" s="17"/>
      <c r="F16" s="20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2:17" x14ac:dyDescent="0.2">
      <c r="B17" s="13" t="s">
        <v>12</v>
      </c>
      <c r="C17" s="16" t="s">
        <v>23</v>
      </c>
      <c r="D17" s="17"/>
      <c r="F17" s="20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2:17" x14ac:dyDescent="0.2">
      <c r="B18" s="13" t="s">
        <v>13</v>
      </c>
      <c r="C18" s="16"/>
      <c r="D18" s="17"/>
      <c r="F18" s="20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2:17" x14ac:dyDescent="0.2">
      <c r="B19" s="14" t="s">
        <v>24</v>
      </c>
      <c r="C19" s="18" t="s">
        <v>25</v>
      </c>
      <c r="D19" s="19"/>
      <c r="F19" s="20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2:17" x14ac:dyDescent="0.2">
      <c r="F20" s="20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2:17" x14ac:dyDescent="0.2">
      <c r="F21" s="20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2:17" x14ac:dyDescent="0.2">
      <c r="B22" s="3" t="s">
        <v>14</v>
      </c>
      <c r="C22" s="4"/>
      <c r="D22" s="5"/>
      <c r="F22" s="20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2:17" x14ac:dyDescent="0.2">
      <c r="B23" s="20" t="s">
        <v>15</v>
      </c>
      <c r="C23" s="16" t="s">
        <v>29</v>
      </c>
      <c r="D23" s="17"/>
      <c r="F23" s="59">
        <v>42948</v>
      </c>
      <c r="G23" s="9" t="s">
        <v>129</v>
      </c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2:17" x14ac:dyDescent="0.2">
      <c r="B24" s="20" t="s">
        <v>16</v>
      </c>
      <c r="C24" s="16">
        <v>1978</v>
      </c>
      <c r="D24" s="17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2:17" x14ac:dyDescent="0.2">
      <c r="B25" s="20" t="s">
        <v>17</v>
      </c>
      <c r="C25" s="16">
        <v>2014</v>
      </c>
      <c r="D25" s="17"/>
      <c r="F25" s="20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2:17" x14ac:dyDescent="0.2">
      <c r="B26" s="20"/>
      <c r="C26" s="16"/>
      <c r="D26" s="17"/>
      <c r="F26" s="20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2:17" x14ac:dyDescent="0.2">
      <c r="B27" s="20" t="s">
        <v>18</v>
      </c>
      <c r="C27" s="51">
        <f>+'Financial Model'!V34</f>
        <v>1140</v>
      </c>
      <c r="D27" s="17"/>
      <c r="F27" s="20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2:17" x14ac:dyDescent="0.2">
      <c r="B28" s="20" t="s">
        <v>19</v>
      </c>
      <c r="C28" s="51">
        <f>+'Financial Model'!V61</f>
        <v>764</v>
      </c>
      <c r="D28" s="17"/>
      <c r="F28" s="20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2:17" x14ac:dyDescent="0.2">
      <c r="B29" s="20"/>
      <c r="C29" s="16"/>
      <c r="D29" s="17"/>
      <c r="F29" s="20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2:17" x14ac:dyDescent="0.2">
      <c r="B30" s="20" t="s">
        <v>20</v>
      </c>
      <c r="C30" s="15" t="s">
        <v>45</v>
      </c>
      <c r="D30" s="43">
        <v>45096</v>
      </c>
      <c r="F30" s="20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2:17" x14ac:dyDescent="0.2">
      <c r="B31" s="21" t="s">
        <v>21</v>
      </c>
      <c r="C31" s="28" t="s">
        <v>38</v>
      </c>
      <c r="D31" s="29"/>
      <c r="F31" s="20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2:17" x14ac:dyDescent="0.2">
      <c r="F32" s="20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2:17" x14ac:dyDescent="0.2">
      <c r="F33" s="20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2:17" x14ac:dyDescent="0.2">
      <c r="B34" s="3" t="s">
        <v>30</v>
      </c>
      <c r="C34" s="4"/>
      <c r="D34" s="5"/>
      <c r="F34" s="20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2:17" x14ac:dyDescent="0.2">
      <c r="B35" s="20" t="s">
        <v>31</v>
      </c>
      <c r="C35" s="45">
        <f>C6/'Financial Model'!V84</f>
        <v>7.9778273551388885</v>
      </c>
      <c r="D35" s="46"/>
      <c r="F35" s="20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2:17" x14ac:dyDescent="0.2">
      <c r="B36" s="20" t="s">
        <v>32</v>
      </c>
      <c r="C36" s="45">
        <f>C8/'Financial Model'!V4</f>
        <v>1.152726408930363</v>
      </c>
      <c r="D36" s="46"/>
      <c r="F36" s="20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2:17" x14ac:dyDescent="0.2">
      <c r="B37" s="20" t="s">
        <v>33</v>
      </c>
      <c r="C37" s="45">
        <f>C12/'Financial Model'!V4</f>
        <v>1.2964149499698976</v>
      </c>
      <c r="D37" s="46"/>
      <c r="F37" s="20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2:17" x14ac:dyDescent="0.2">
      <c r="B38" s="20" t="s">
        <v>34</v>
      </c>
      <c r="C38" s="45">
        <f>C6/'Financial Model'!V21</f>
        <v>14.880921491450774</v>
      </c>
      <c r="D38" s="46"/>
      <c r="F38" s="20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2:17" x14ac:dyDescent="0.2">
      <c r="B39" s="20" t="s">
        <v>35</v>
      </c>
      <c r="C39" s="45">
        <f>C12/'Financial Model'!V16</f>
        <v>18.563320964655169</v>
      </c>
      <c r="D39" s="46"/>
      <c r="F39" s="20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2:17" x14ac:dyDescent="0.2">
      <c r="B40" s="21" t="s">
        <v>36</v>
      </c>
      <c r="C40" s="18"/>
      <c r="D40" s="19"/>
      <c r="F40" s="2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</row>
  </sheetData>
  <mergeCells count="25">
    <mergeCell ref="W4:X4"/>
    <mergeCell ref="T4:U4"/>
    <mergeCell ref="C36:D36"/>
    <mergeCell ref="C37:D37"/>
    <mergeCell ref="C38:D38"/>
    <mergeCell ref="C39:D39"/>
    <mergeCell ref="C40:D40"/>
    <mergeCell ref="F5:Q5"/>
    <mergeCell ref="C28:D28"/>
    <mergeCell ref="C29:D29"/>
    <mergeCell ref="C31:D31"/>
    <mergeCell ref="B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hyperlinks>
    <hyperlink ref="C31:D31" r:id="rId1" display="Link" xr:uid="{9BE3B3D4-9498-4B97-998C-C0C12FA77148}"/>
  </hyperlinks>
  <pageMargins left="0.7" right="0.7" top="0.75" bottom="0.75" header="0.3" footer="0.3"/>
  <pageSetup paperSize="125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EA70-0C15-460C-B41E-267C906FFAC5}">
  <dimension ref="B1:AE10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22" sqref="T22"/>
    </sheetView>
  </sheetViews>
  <sheetFormatPr defaultRowHeight="12.75" x14ac:dyDescent="0.2"/>
  <cols>
    <col min="1" max="1" width="4.28515625" style="1" customWidth="1"/>
    <col min="2" max="2" width="28.28515625" style="1" bestFit="1" customWidth="1"/>
    <col min="3" max="3" width="9.140625" style="1"/>
    <col min="4" max="4" width="9.140625" style="67"/>
    <col min="5" max="5" width="9.140625" style="1"/>
    <col min="6" max="6" width="9.140625" style="67"/>
    <col min="7" max="7" width="9.140625" style="1"/>
    <col min="8" max="8" width="9.140625" style="67"/>
    <col min="9" max="9" width="9.140625" style="1"/>
    <col min="10" max="10" width="9.140625" style="67"/>
    <col min="11" max="11" width="9.140625" style="1"/>
    <col min="12" max="12" width="9.140625" style="67"/>
    <col min="13" max="22" width="9.140625" style="1"/>
    <col min="23" max="23" width="9.140625" style="79"/>
    <col min="24" max="16384" width="9.140625" style="1"/>
  </cols>
  <sheetData>
    <row r="1" spans="2:31" s="30" customFormat="1" x14ac:dyDescent="0.2">
      <c r="D1" s="64"/>
      <c r="F1" s="64"/>
      <c r="H1" s="64"/>
      <c r="J1" s="64"/>
      <c r="L1" s="64"/>
      <c r="O1" s="30" t="s">
        <v>73</v>
      </c>
      <c r="P1" s="30" t="s">
        <v>72</v>
      </c>
      <c r="Q1" s="30" t="s">
        <v>71</v>
      </c>
      <c r="R1" s="30" t="s">
        <v>70</v>
      </c>
      <c r="S1" s="30" t="s">
        <v>69</v>
      </c>
      <c r="T1" s="31" t="s">
        <v>68</v>
      </c>
      <c r="U1" s="30" t="s">
        <v>67</v>
      </c>
      <c r="V1" s="31" t="s">
        <v>45</v>
      </c>
      <c r="W1" s="77" t="s">
        <v>117</v>
      </c>
      <c r="X1" s="30" t="s">
        <v>118</v>
      </c>
      <c r="Y1" s="30" t="s">
        <v>119</v>
      </c>
      <c r="Z1" s="30" t="s">
        <v>120</v>
      </c>
      <c r="AA1" s="30" t="s">
        <v>121</v>
      </c>
      <c r="AB1" s="30" t="s">
        <v>122</v>
      </c>
      <c r="AC1" s="30" t="s">
        <v>123</v>
      </c>
      <c r="AD1" s="30" t="s">
        <v>124</v>
      </c>
      <c r="AE1" s="30" t="s">
        <v>125</v>
      </c>
    </row>
    <row r="2" spans="2:31" s="35" customFormat="1" x14ac:dyDescent="0.2">
      <c r="B2" s="34"/>
      <c r="D2" s="65"/>
      <c r="F2" s="65"/>
      <c r="H2" s="65"/>
      <c r="J2" s="65"/>
      <c r="L2" s="65"/>
      <c r="S2" s="36">
        <v>43918</v>
      </c>
      <c r="T2" s="36">
        <v>44282</v>
      </c>
      <c r="U2" s="36">
        <v>44646</v>
      </c>
      <c r="V2" s="36">
        <v>45010</v>
      </c>
      <c r="W2" s="89" t="s">
        <v>131</v>
      </c>
    </row>
    <row r="3" spans="2:31" s="35" customFormat="1" x14ac:dyDescent="0.2">
      <c r="B3" s="34"/>
      <c r="D3" s="65"/>
      <c r="F3" s="65"/>
      <c r="H3" s="65"/>
      <c r="J3" s="65"/>
      <c r="L3" s="65"/>
      <c r="T3" s="44">
        <v>45080</v>
      </c>
      <c r="U3" s="44">
        <v>45077</v>
      </c>
      <c r="V3" s="44">
        <v>45096</v>
      </c>
      <c r="W3" s="78"/>
    </row>
    <row r="4" spans="2:31" s="2" customFormat="1" x14ac:dyDescent="0.2">
      <c r="B4" s="2" t="s">
        <v>42</v>
      </c>
      <c r="C4" s="27"/>
      <c r="D4" s="66"/>
      <c r="F4" s="66"/>
      <c r="H4" s="66"/>
      <c r="J4" s="66"/>
      <c r="L4" s="66"/>
      <c r="O4" s="32"/>
      <c r="P4" s="32"/>
      <c r="Q4" s="32"/>
      <c r="R4" s="32"/>
      <c r="S4" s="32">
        <v>3813.3870000000002</v>
      </c>
      <c r="T4" s="32">
        <v>4801.4250000000002</v>
      </c>
      <c r="U4" s="32">
        <v>4673</v>
      </c>
      <c r="V4" s="32">
        <v>4983</v>
      </c>
      <c r="W4" s="84">
        <f>V4*(1+W24)</f>
        <v>5381.64</v>
      </c>
    </row>
    <row r="5" spans="2:31" x14ac:dyDescent="0.2">
      <c r="B5" s="1" t="s">
        <v>43</v>
      </c>
      <c r="O5" s="33"/>
      <c r="P5" s="33"/>
      <c r="Q5" s="33"/>
      <c r="R5" s="33"/>
      <c r="S5" s="33">
        <v>2530.5790000000002</v>
      </c>
      <c r="T5" s="33">
        <v>3031.4549999999999</v>
      </c>
      <c r="U5" s="33">
        <v>2921</v>
      </c>
      <c r="V5" s="33">
        <v>3182</v>
      </c>
      <c r="W5" s="54">
        <f>W4*(1-W27)</f>
        <v>3444.2496000000001</v>
      </c>
    </row>
    <row r="6" spans="2:31" s="2" customFormat="1" x14ac:dyDescent="0.2">
      <c r="B6" s="2" t="s">
        <v>44</v>
      </c>
      <c r="D6" s="66"/>
      <c r="F6" s="66"/>
      <c r="H6" s="66"/>
      <c r="J6" s="66"/>
      <c r="L6" s="66"/>
      <c r="O6" s="32">
        <f t="shared" ref="O6" si="0">O4-O5</f>
        <v>0</v>
      </c>
      <c r="P6" s="32">
        <f t="shared" ref="P6" si="1">P4-P5</f>
        <v>0</v>
      </c>
      <c r="Q6" s="32">
        <f t="shared" ref="Q6" si="2">Q4-Q5</f>
        <v>0</v>
      </c>
      <c r="R6" s="32">
        <f t="shared" ref="R6" si="3">R4-R5</f>
        <v>0</v>
      </c>
      <c r="S6" s="32">
        <f t="shared" ref="S6" si="4">S4-S5</f>
        <v>1282.808</v>
      </c>
      <c r="T6" s="32">
        <f t="shared" ref="T6" si="5">T4-T5</f>
        <v>1769.9700000000003</v>
      </c>
      <c r="U6" s="32">
        <f>U4-U5</f>
        <v>1752</v>
      </c>
      <c r="V6" s="32">
        <f>V4-V5</f>
        <v>1801</v>
      </c>
      <c r="W6" s="84">
        <f>W4-W5</f>
        <v>1937.3904000000002</v>
      </c>
    </row>
    <row r="7" spans="2:31" x14ac:dyDescent="0.2">
      <c r="B7" s="1" t="s">
        <v>46</v>
      </c>
      <c r="O7" s="33"/>
      <c r="P7" s="33"/>
      <c r="Q7" s="33"/>
      <c r="R7" s="33"/>
      <c r="S7" s="33">
        <f>966.928-16.932</f>
        <v>949.99599999999998</v>
      </c>
      <c r="T7" s="33">
        <v>1156.556</v>
      </c>
      <c r="U7" s="33">
        <v>1142</v>
      </c>
      <c r="V7" s="33">
        <v>1265</v>
      </c>
      <c r="W7" s="54"/>
    </row>
    <row r="8" spans="2:31" s="2" customFormat="1" x14ac:dyDescent="0.2">
      <c r="B8" s="2" t="s">
        <v>47</v>
      </c>
      <c r="D8" s="66"/>
      <c r="F8" s="66"/>
      <c r="H8" s="66"/>
      <c r="J8" s="66"/>
      <c r="L8" s="66"/>
      <c r="O8" s="32">
        <f t="shared" ref="O8:T8" si="6">O6-O7</f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332.81200000000001</v>
      </c>
      <c r="T8" s="32">
        <f t="shared" si="6"/>
        <v>613.41400000000021</v>
      </c>
      <c r="U8" s="32">
        <f>U6-U7</f>
        <v>610</v>
      </c>
      <c r="V8" s="32">
        <f>V6-V7</f>
        <v>536</v>
      </c>
      <c r="W8" s="84"/>
    </row>
    <row r="9" spans="2:31" x14ac:dyDescent="0.2">
      <c r="B9" s="1" t="s">
        <v>48</v>
      </c>
      <c r="O9" s="33"/>
      <c r="P9" s="33"/>
      <c r="Q9" s="33"/>
      <c r="R9" s="33"/>
      <c r="S9" s="33">
        <v>0.879</v>
      </c>
      <c r="T9" s="33">
        <v>1.7949999999999999</v>
      </c>
      <c r="U9" s="33">
        <v>3</v>
      </c>
      <c r="V9" s="33">
        <v>-1</v>
      </c>
      <c r="W9" s="54"/>
    </row>
    <row r="10" spans="2:31" x14ac:dyDescent="0.2">
      <c r="B10" s="1" t="s">
        <v>49</v>
      </c>
      <c r="O10" s="33">
        <f t="shared" ref="O10:T10" si="7">O8+O9</f>
        <v>0</v>
      </c>
      <c r="P10" s="33">
        <f t="shared" si="7"/>
        <v>0</v>
      </c>
      <c r="Q10" s="33">
        <f t="shared" si="7"/>
        <v>0</v>
      </c>
      <c r="R10" s="33">
        <f t="shared" si="7"/>
        <v>0</v>
      </c>
      <c r="S10" s="33">
        <f t="shared" si="7"/>
        <v>333.69100000000003</v>
      </c>
      <c r="T10" s="33">
        <f t="shared" si="7"/>
        <v>615.20900000000017</v>
      </c>
      <c r="U10" s="33">
        <f>U8+U9</f>
        <v>613</v>
      </c>
      <c r="V10" s="33">
        <f>V8+V9</f>
        <v>535</v>
      </c>
      <c r="W10" s="54"/>
    </row>
    <row r="11" spans="2:31" x14ac:dyDescent="0.2">
      <c r="B11" s="1" t="s">
        <v>50</v>
      </c>
      <c r="O11" s="33"/>
      <c r="P11" s="33"/>
      <c r="Q11" s="33"/>
      <c r="R11" s="33"/>
      <c r="S11" s="33">
        <v>57.206000000000003</v>
      </c>
      <c r="T11" s="33">
        <v>61.411000000000001</v>
      </c>
      <c r="U11" s="33">
        <v>59</v>
      </c>
      <c r="V11" s="33">
        <v>61</v>
      </c>
      <c r="W11" s="54"/>
    </row>
    <row r="12" spans="2:31" x14ac:dyDescent="0.2">
      <c r="B12" s="1" t="s">
        <v>51</v>
      </c>
      <c r="O12" s="33"/>
      <c r="P12" s="33"/>
      <c r="Q12" s="33"/>
      <c r="R12" s="33"/>
      <c r="S12" s="33">
        <v>24.809000000000001</v>
      </c>
      <c r="T12" s="33">
        <v>28.654</v>
      </c>
      <c r="U12" s="33">
        <v>29</v>
      </c>
      <c r="V12" s="33">
        <v>40</v>
      </c>
      <c r="W12" s="54"/>
    </row>
    <row r="13" spans="2:31" x14ac:dyDescent="0.2">
      <c r="B13" s="1" t="s">
        <v>52</v>
      </c>
      <c r="O13" s="33"/>
      <c r="P13" s="33"/>
      <c r="Q13" s="33"/>
      <c r="R13" s="33"/>
      <c r="S13" s="33">
        <f>0.213+0.134</f>
        <v>0.34699999999999998</v>
      </c>
      <c r="T13" s="33">
        <v>0.29499999999999998</v>
      </c>
      <c r="U13" s="33">
        <v>0</v>
      </c>
      <c r="V13" s="33">
        <v>2</v>
      </c>
      <c r="W13" s="54"/>
    </row>
    <row r="14" spans="2:31" x14ac:dyDescent="0.2">
      <c r="B14" s="1" t="s">
        <v>53</v>
      </c>
      <c r="O14" s="33">
        <f t="shared" ref="O14:T14" si="8">O10-O11-O12+O13</f>
        <v>0</v>
      </c>
      <c r="P14" s="33">
        <f t="shared" si="8"/>
        <v>0</v>
      </c>
      <c r="Q14" s="33">
        <f t="shared" si="8"/>
        <v>0</v>
      </c>
      <c r="R14" s="33">
        <f t="shared" si="8"/>
        <v>0</v>
      </c>
      <c r="S14" s="33">
        <f t="shared" si="8"/>
        <v>252.02300000000002</v>
      </c>
      <c r="T14" s="33">
        <f t="shared" si="8"/>
        <v>525.43900000000019</v>
      </c>
      <c r="U14" s="33">
        <f>U10-U11-U12+U13</f>
        <v>525</v>
      </c>
      <c r="V14" s="33">
        <f>V10-V11-V12+V13</f>
        <v>436</v>
      </c>
      <c r="W14" s="54"/>
    </row>
    <row r="15" spans="2:31" x14ac:dyDescent="0.2">
      <c r="B15" s="1" t="s">
        <v>54</v>
      </c>
      <c r="O15" s="33"/>
      <c r="P15" s="33"/>
      <c r="Q15" s="33"/>
      <c r="R15" s="33"/>
      <c r="S15" s="33">
        <v>57.246000000000002</v>
      </c>
      <c r="T15" s="33">
        <v>97.334999999999994</v>
      </c>
      <c r="U15" s="33">
        <v>103</v>
      </c>
      <c r="V15" s="33">
        <v>88</v>
      </c>
      <c r="W15" s="54"/>
    </row>
    <row r="16" spans="2:31" s="2" customFormat="1" x14ac:dyDescent="0.2">
      <c r="B16" s="2" t="s">
        <v>55</v>
      </c>
      <c r="D16" s="66"/>
      <c r="F16" s="66"/>
      <c r="H16" s="66"/>
      <c r="J16" s="66"/>
      <c r="L16" s="66"/>
      <c r="O16" s="32">
        <f t="shared" ref="O16:T16" si="9">O14-O15</f>
        <v>0</v>
      </c>
      <c r="P16" s="32">
        <f t="shared" si="9"/>
        <v>0</v>
      </c>
      <c r="Q16" s="32">
        <f t="shared" si="9"/>
        <v>0</v>
      </c>
      <c r="R16" s="32">
        <f t="shared" si="9"/>
        <v>0</v>
      </c>
      <c r="S16" s="32">
        <f t="shared" si="9"/>
        <v>194.77700000000002</v>
      </c>
      <c r="T16" s="32">
        <f t="shared" si="9"/>
        <v>428.10400000000021</v>
      </c>
      <c r="U16" s="32">
        <f>U14-U15</f>
        <v>422</v>
      </c>
      <c r="V16" s="32">
        <f>V14-V15</f>
        <v>348</v>
      </c>
      <c r="W16" s="84"/>
    </row>
    <row r="17" spans="2:23" x14ac:dyDescent="0.2">
      <c r="B17" s="1" t="s">
        <v>57</v>
      </c>
      <c r="O17" s="33"/>
      <c r="P17" s="33"/>
      <c r="Q17" s="33"/>
      <c r="R17" s="33"/>
      <c r="S17" s="33">
        <v>1.661</v>
      </c>
      <c r="T17" s="33">
        <v>-1.222</v>
      </c>
      <c r="U17" s="33">
        <v>-2</v>
      </c>
      <c r="V17" s="33">
        <v>5</v>
      </c>
      <c r="W17" s="54"/>
    </row>
    <row r="18" spans="2:23" x14ac:dyDescent="0.2">
      <c r="B18" s="1" t="s">
        <v>56</v>
      </c>
      <c r="O18" s="33"/>
      <c r="P18" s="33"/>
      <c r="Q18" s="33"/>
      <c r="R18" s="33"/>
      <c r="S18" s="33">
        <v>8.6790000000000003</v>
      </c>
      <c r="T18" s="33">
        <v>-20.939</v>
      </c>
      <c r="U18" s="33">
        <v>20</v>
      </c>
      <c r="V18" s="33">
        <v>28</v>
      </c>
      <c r="W18" s="54"/>
    </row>
    <row r="19" spans="2:23" x14ac:dyDescent="0.2">
      <c r="B19" s="1" t="s">
        <v>58</v>
      </c>
      <c r="O19" s="33"/>
      <c r="P19" s="33"/>
      <c r="Q19" s="33"/>
      <c r="R19" s="33"/>
      <c r="S19" s="33">
        <v>-1.383</v>
      </c>
      <c r="T19" s="33">
        <v>4.5090000000000003</v>
      </c>
      <c r="U19" s="33">
        <v>-4</v>
      </c>
      <c r="V19" s="33">
        <v>5</v>
      </c>
      <c r="W19" s="54"/>
    </row>
    <row r="20" spans="2:23" s="2" customFormat="1" x14ac:dyDescent="0.2">
      <c r="B20" s="2" t="s">
        <v>59</v>
      </c>
      <c r="D20" s="66"/>
      <c r="F20" s="66"/>
      <c r="H20" s="66"/>
      <c r="J20" s="66"/>
      <c r="L20" s="66"/>
      <c r="O20" s="32">
        <f t="shared" ref="O20:T20" si="10">O16+SUM(O17:O19)</f>
        <v>0</v>
      </c>
      <c r="P20" s="32">
        <f t="shared" si="10"/>
        <v>0</v>
      </c>
      <c r="Q20" s="32">
        <f t="shared" si="10"/>
        <v>0</v>
      </c>
      <c r="R20" s="32">
        <f t="shared" si="10"/>
        <v>0</v>
      </c>
      <c r="S20" s="32">
        <f t="shared" si="10"/>
        <v>203.73400000000001</v>
      </c>
      <c r="T20" s="32">
        <f t="shared" si="10"/>
        <v>410.45200000000023</v>
      </c>
      <c r="U20" s="32">
        <f>U16+SUM(U17:U19)</f>
        <v>436</v>
      </c>
      <c r="V20" s="32">
        <f>V16+SUM(V17:V19)</f>
        <v>386</v>
      </c>
      <c r="W20" s="84"/>
    </row>
    <row r="21" spans="2:23" s="40" customFormat="1" x14ac:dyDescent="0.2">
      <c r="B21" s="40" t="s">
        <v>60</v>
      </c>
      <c r="D21" s="68"/>
      <c r="F21" s="68"/>
      <c r="H21" s="68"/>
      <c r="J21" s="68"/>
      <c r="L21" s="68"/>
      <c r="S21" s="40">
        <f t="shared" ref="S21:T21" si="11">S20/S22</f>
        <v>0.20361793777546799</v>
      </c>
      <c r="T21" s="40">
        <f t="shared" si="11"/>
        <v>0.4101669339808835</v>
      </c>
      <c r="U21" s="40">
        <f>U20/U22</f>
        <v>0.4355378942941539</v>
      </c>
      <c r="V21" s="40">
        <f t="shared" ref="V21" si="12">V20/V22</f>
        <v>0.3853860799746005</v>
      </c>
      <c r="W21" s="81"/>
    </row>
    <row r="22" spans="2:23" s="41" customFormat="1" x14ac:dyDescent="0.2">
      <c r="B22" s="41" t="s">
        <v>4</v>
      </c>
      <c r="D22" s="69"/>
      <c r="F22" s="69"/>
      <c r="H22" s="69"/>
      <c r="J22" s="69"/>
      <c r="L22" s="69"/>
      <c r="S22" s="41">
        <v>1000.57</v>
      </c>
      <c r="T22" s="41">
        <v>1000.6950000000001</v>
      </c>
      <c r="U22" s="41">
        <v>1001.061</v>
      </c>
      <c r="V22" s="41">
        <v>1001.593</v>
      </c>
      <c r="W22" s="82">
        <f>V22</f>
        <v>1001.593</v>
      </c>
    </row>
    <row r="24" spans="2:23" s="2" customFormat="1" x14ac:dyDescent="0.2">
      <c r="B24" s="2" t="s">
        <v>61</v>
      </c>
      <c r="D24" s="66"/>
      <c r="F24" s="66"/>
      <c r="H24" s="66"/>
      <c r="J24" s="66"/>
      <c r="L24" s="66"/>
      <c r="T24" s="38">
        <f>T4/S4-1</f>
        <v>0.25909722774006405</v>
      </c>
      <c r="U24" s="38">
        <f>U4/T4-1</f>
        <v>-2.6747267738223557E-2</v>
      </c>
      <c r="V24" s="38">
        <f>V4/U4-1</f>
        <v>6.633854055210775E-2</v>
      </c>
      <c r="W24" s="83">
        <v>0.08</v>
      </c>
    </row>
    <row r="25" spans="2:23" s="2" customFormat="1" x14ac:dyDescent="0.2">
      <c r="B25" s="1" t="s">
        <v>62</v>
      </c>
      <c r="D25" s="66"/>
      <c r="F25" s="66"/>
      <c r="H25" s="66"/>
      <c r="J25" s="66"/>
      <c r="L25" s="66"/>
      <c r="O25" s="26" t="s">
        <v>74</v>
      </c>
      <c r="P25" s="26" t="s">
        <v>74</v>
      </c>
      <c r="Q25" s="26" t="s">
        <v>74</v>
      </c>
      <c r="R25" s="26" t="s">
        <v>74</v>
      </c>
      <c r="S25" s="26" t="s">
        <v>74</v>
      </c>
      <c r="T25" s="26" t="s">
        <v>74</v>
      </c>
      <c r="U25" s="26" t="s">
        <v>74</v>
      </c>
      <c r="V25" s="26" t="s">
        <v>74</v>
      </c>
      <c r="W25" s="80"/>
    </row>
    <row r="27" spans="2:23" x14ac:dyDescent="0.2">
      <c r="B27" s="1" t="s">
        <v>63</v>
      </c>
      <c r="S27" s="37">
        <f t="shared" ref="S27:T27" si="13">S6/S4</f>
        <v>0.33639596505678548</v>
      </c>
      <c r="T27" s="37">
        <f t="shared" ref="T27:U27" si="14">T6/T4</f>
        <v>0.36863431168871746</v>
      </c>
      <c r="U27" s="37">
        <f t="shared" ref="U27:V27" si="15">U6/U4</f>
        <v>0.37491975176546116</v>
      </c>
      <c r="V27" s="37">
        <f>V6/V4</f>
        <v>0.36142885811759984</v>
      </c>
      <c r="W27" s="90">
        <v>0.36</v>
      </c>
    </row>
    <row r="28" spans="2:23" x14ac:dyDescent="0.2">
      <c r="B28" s="1" t="s">
        <v>64</v>
      </c>
      <c r="S28" s="37">
        <f t="shared" ref="S28:T28" si="16">S8/S4</f>
        <v>8.7274645872553722E-2</v>
      </c>
      <c r="T28" s="37">
        <f t="shared" ref="T28:U28" si="17">T8/T4</f>
        <v>0.12775665557620919</v>
      </c>
      <c r="U28" s="37">
        <f t="shared" ref="U28:V28" si="18">U8/U4</f>
        <v>0.13053712818317997</v>
      </c>
      <c r="V28" s="37">
        <f>V8/V4</f>
        <v>0.1075657234597632</v>
      </c>
    </row>
    <row r="29" spans="2:23" x14ac:dyDescent="0.2">
      <c r="B29" s="1" t="s">
        <v>65</v>
      </c>
      <c r="S29" s="37">
        <f t="shared" ref="S29:T29" si="19">S16/S4</f>
        <v>5.1077165784642366E-2</v>
      </c>
      <c r="T29" s="37">
        <f t="shared" ref="T29:U29" si="20">T16/T4</f>
        <v>8.9161863405134975E-2</v>
      </c>
      <c r="U29" s="37">
        <f t="shared" ref="U29:V29" si="21">U16/U4</f>
        <v>9.030601326770811E-2</v>
      </c>
      <c r="V29" s="37">
        <f>V16/V4</f>
        <v>6.9837447320891033E-2</v>
      </c>
    </row>
    <row r="30" spans="2:23" x14ac:dyDescent="0.2">
      <c r="B30" s="1" t="s">
        <v>66</v>
      </c>
      <c r="S30" s="37">
        <f t="shared" ref="S30:T30" si="22">S15/S14</f>
        <v>0.22714593509322561</v>
      </c>
      <c r="T30" s="37">
        <f t="shared" ref="T30:U30" si="23">T15/T14</f>
        <v>0.18524509981177636</v>
      </c>
      <c r="U30" s="37">
        <f t="shared" ref="U30:V30" si="24">U15/U14</f>
        <v>0.19619047619047619</v>
      </c>
      <c r="V30" s="37">
        <f>V15/V14</f>
        <v>0.20183486238532111</v>
      </c>
    </row>
    <row r="33" spans="2:23" x14ac:dyDescent="0.2">
      <c r="B33" s="39" t="s">
        <v>39</v>
      </c>
    </row>
    <row r="34" spans="2:23" s="32" customFormat="1" x14ac:dyDescent="0.2">
      <c r="B34" s="32" t="s">
        <v>40</v>
      </c>
      <c r="D34" s="70"/>
      <c r="F34" s="70"/>
      <c r="H34" s="70"/>
      <c r="J34" s="70"/>
      <c r="L34" s="70"/>
      <c r="O34" s="32">
        <f t="shared" ref="O34:U34" si="25">+O35+O38</f>
        <v>0</v>
      </c>
      <c r="P34" s="32">
        <f t="shared" si="25"/>
        <v>0</v>
      </c>
      <c r="Q34" s="32">
        <f t="shared" si="25"/>
        <v>0</v>
      </c>
      <c r="R34" s="32">
        <f t="shared" si="25"/>
        <v>0</v>
      </c>
      <c r="S34" s="32">
        <f t="shared" si="25"/>
        <v>1050</v>
      </c>
      <c r="T34" s="32">
        <f t="shared" si="25"/>
        <v>1091</v>
      </c>
      <c r="U34" s="32">
        <f t="shared" si="25"/>
        <v>1119</v>
      </c>
      <c r="V34" s="32">
        <f>+V35+V38</f>
        <v>1140</v>
      </c>
      <c r="W34" s="84"/>
    </row>
    <row r="35" spans="2:23" s="33" customFormat="1" x14ac:dyDescent="0.2">
      <c r="B35" s="47" t="s">
        <v>26</v>
      </c>
      <c r="D35" s="71"/>
      <c r="F35" s="71"/>
      <c r="H35" s="71"/>
      <c r="J35" s="71"/>
      <c r="L35" s="71"/>
      <c r="O35" s="33">
        <f t="shared" ref="O35:U35" si="26">SUM(O36:O37)</f>
        <v>0</v>
      </c>
      <c r="P35" s="33">
        <f t="shared" si="26"/>
        <v>0</v>
      </c>
      <c r="Q35" s="33">
        <f t="shared" si="26"/>
        <v>0</v>
      </c>
      <c r="R35" s="33">
        <f t="shared" si="26"/>
        <v>0</v>
      </c>
      <c r="S35" s="33">
        <f t="shared" si="26"/>
        <v>757</v>
      </c>
      <c r="T35" s="33">
        <f t="shared" si="26"/>
        <v>785</v>
      </c>
      <c r="U35" s="33">
        <f t="shared" si="26"/>
        <v>808</v>
      </c>
      <c r="V35" s="33">
        <f>SUM(V36:V37)</f>
        <v>821</v>
      </c>
      <c r="W35" s="54"/>
    </row>
    <row r="36" spans="2:23" s="33" customFormat="1" x14ac:dyDescent="0.2">
      <c r="B36" s="48" t="s">
        <v>75</v>
      </c>
      <c r="D36" s="71"/>
      <c r="F36" s="71"/>
      <c r="H36" s="71"/>
      <c r="J36" s="71"/>
      <c r="L36" s="71"/>
      <c r="S36" s="33">
        <v>656</v>
      </c>
      <c r="T36" s="33">
        <v>681</v>
      </c>
      <c r="U36" s="33">
        <v>701</v>
      </c>
      <c r="V36" s="33">
        <v>707</v>
      </c>
      <c r="W36" s="54"/>
    </row>
    <row r="37" spans="2:23" s="33" customFormat="1" x14ac:dyDescent="0.2">
      <c r="B37" s="48" t="s">
        <v>76</v>
      </c>
      <c r="D37" s="71"/>
      <c r="F37" s="71"/>
      <c r="H37" s="71"/>
      <c r="J37" s="71"/>
      <c r="L37" s="71"/>
      <c r="S37" s="33">
        <v>101</v>
      </c>
      <c r="T37" s="33">
        <v>104</v>
      </c>
      <c r="U37" s="33">
        <v>107</v>
      </c>
      <c r="V37" s="33">
        <v>114</v>
      </c>
      <c r="W37" s="54"/>
    </row>
    <row r="38" spans="2:23" s="33" customFormat="1" x14ac:dyDescent="0.2">
      <c r="B38" s="47" t="s">
        <v>27</v>
      </c>
      <c r="D38" s="71"/>
      <c r="F38" s="71"/>
      <c r="H38" s="71"/>
      <c r="J38" s="71"/>
      <c r="L38" s="71"/>
      <c r="O38" s="33">
        <f t="shared" ref="O38:U38" si="27">+O39</f>
        <v>0</v>
      </c>
      <c r="P38" s="33">
        <f t="shared" si="27"/>
        <v>0</v>
      </c>
      <c r="Q38" s="33">
        <f t="shared" si="27"/>
        <v>0</v>
      </c>
      <c r="R38" s="33">
        <f t="shared" si="27"/>
        <v>0</v>
      </c>
      <c r="S38" s="33">
        <f t="shared" si="27"/>
        <v>293</v>
      </c>
      <c r="T38" s="33">
        <f t="shared" si="27"/>
        <v>306</v>
      </c>
      <c r="U38" s="33">
        <f t="shared" si="27"/>
        <v>311</v>
      </c>
      <c r="V38" s="33">
        <f>+V39</f>
        <v>319</v>
      </c>
      <c r="W38" s="54"/>
    </row>
    <row r="39" spans="2:23" s="33" customFormat="1" x14ac:dyDescent="0.2">
      <c r="B39" s="48" t="s">
        <v>75</v>
      </c>
      <c r="D39" s="71"/>
      <c r="F39" s="71"/>
      <c r="H39" s="71"/>
      <c r="J39" s="71"/>
      <c r="L39" s="71"/>
      <c r="S39" s="33">
        <v>293</v>
      </c>
      <c r="T39" s="33">
        <v>306</v>
      </c>
      <c r="U39" s="33">
        <v>311</v>
      </c>
      <c r="V39" s="33">
        <v>319</v>
      </c>
      <c r="W39" s="54"/>
    </row>
    <row r="40" spans="2:23" s="61" customFormat="1" x14ac:dyDescent="0.2">
      <c r="B40" s="60" t="s">
        <v>78</v>
      </c>
      <c r="D40" s="72"/>
      <c r="F40" s="72"/>
      <c r="H40" s="72"/>
      <c r="J40" s="72"/>
      <c r="L40" s="72"/>
      <c r="T40" s="61">
        <f>T34-S34</f>
        <v>41</v>
      </c>
      <c r="U40" s="61">
        <f t="shared" ref="U40:V40" si="28">U34-T34</f>
        <v>28</v>
      </c>
      <c r="V40" s="61">
        <f t="shared" si="28"/>
        <v>21</v>
      </c>
      <c r="W40" s="85"/>
    </row>
    <row r="41" spans="2:23" s="32" customFormat="1" x14ac:dyDescent="0.2">
      <c r="B41" s="33"/>
      <c r="D41" s="70"/>
      <c r="F41" s="70"/>
      <c r="H41" s="70"/>
      <c r="J41" s="70"/>
      <c r="L41" s="70"/>
      <c r="W41" s="84"/>
    </row>
    <row r="42" spans="2:23" s="32" customFormat="1" x14ac:dyDescent="0.2">
      <c r="B42" s="32" t="s">
        <v>41</v>
      </c>
      <c r="D42" s="70"/>
      <c r="F42" s="70"/>
      <c r="H42" s="70"/>
      <c r="J42" s="70"/>
      <c r="L42" s="70"/>
      <c r="O42" s="32">
        <f t="shared" ref="O42:U42" si="29">O43+O46</f>
        <v>0</v>
      </c>
      <c r="P42" s="32">
        <f t="shared" si="29"/>
        <v>0</v>
      </c>
      <c r="Q42" s="32">
        <f t="shared" si="29"/>
        <v>0</v>
      </c>
      <c r="R42" s="32">
        <f t="shared" si="29"/>
        <v>0</v>
      </c>
      <c r="S42" s="32">
        <f t="shared" si="29"/>
        <v>0</v>
      </c>
      <c r="T42" s="32">
        <f t="shared" si="29"/>
        <v>0</v>
      </c>
      <c r="U42" s="32">
        <f t="shared" si="29"/>
        <v>0</v>
      </c>
      <c r="V42" s="32">
        <f>V43+V46</f>
        <v>39484</v>
      </c>
      <c r="W42" s="84"/>
    </row>
    <row r="43" spans="2:23" s="33" customFormat="1" x14ac:dyDescent="0.2">
      <c r="B43" s="47" t="s">
        <v>26</v>
      </c>
      <c r="D43" s="71"/>
      <c r="F43" s="71"/>
      <c r="H43" s="71"/>
      <c r="J43" s="71"/>
      <c r="L43" s="71"/>
      <c r="O43" s="33">
        <f t="shared" ref="O43:U43" si="30">SUM(O44:O45)</f>
        <v>0</v>
      </c>
      <c r="P43" s="33">
        <f t="shared" si="30"/>
        <v>0</v>
      </c>
      <c r="Q43" s="33">
        <f t="shared" si="30"/>
        <v>0</v>
      </c>
      <c r="R43" s="33">
        <f t="shared" si="30"/>
        <v>0</v>
      </c>
      <c r="S43" s="33">
        <f t="shared" si="30"/>
        <v>0</v>
      </c>
      <c r="T43" s="33">
        <f t="shared" si="30"/>
        <v>0</v>
      </c>
      <c r="U43" s="33">
        <f t="shared" si="30"/>
        <v>0</v>
      </c>
      <c r="V43" s="33">
        <f>SUM(V44:V45)</f>
        <v>34145</v>
      </c>
      <c r="W43" s="54"/>
    </row>
    <row r="44" spans="2:23" s="49" customFormat="1" x14ac:dyDescent="0.2">
      <c r="B44" s="48" t="s">
        <v>75</v>
      </c>
      <c r="D44" s="73"/>
      <c r="F44" s="73"/>
      <c r="H44" s="73"/>
      <c r="J44" s="73"/>
      <c r="L44" s="73"/>
      <c r="V44" s="49">
        <v>33156</v>
      </c>
      <c r="W44" s="54"/>
    </row>
    <row r="45" spans="2:23" s="49" customFormat="1" x14ac:dyDescent="0.2">
      <c r="B45" s="48" t="s">
        <v>76</v>
      </c>
      <c r="D45" s="73"/>
      <c r="F45" s="73"/>
      <c r="H45" s="73"/>
      <c r="J45" s="73"/>
      <c r="L45" s="73"/>
      <c r="V45" s="49">
        <v>989</v>
      </c>
      <c r="W45" s="54"/>
    </row>
    <row r="46" spans="2:23" s="33" customFormat="1" x14ac:dyDescent="0.2">
      <c r="B46" s="47" t="s">
        <v>27</v>
      </c>
      <c r="D46" s="71"/>
      <c r="F46" s="71"/>
      <c r="H46" s="71"/>
      <c r="J46" s="71"/>
      <c r="L46" s="71"/>
      <c r="O46" s="33">
        <f t="shared" ref="O46:U46" si="31">O47</f>
        <v>0</v>
      </c>
      <c r="P46" s="33">
        <f t="shared" si="31"/>
        <v>0</v>
      </c>
      <c r="Q46" s="33">
        <f t="shared" si="31"/>
        <v>0</v>
      </c>
      <c r="R46" s="33">
        <f t="shared" si="31"/>
        <v>0</v>
      </c>
      <c r="S46" s="33">
        <f t="shared" si="31"/>
        <v>0</v>
      </c>
      <c r="T46" s="33">
        <f t="shared" si="31"/>
        <v>0</v>
      </c>
      <c r="U46" s="33">
        <f t="shared" si="31"/>
        <v>0</v>
      </c>
      <c r="V46" s="33">
        <f>V47</f>
        <v>5339</v>
      </c>
      <c r="W46" s="54"/>
    </row>
    <row r="47" spans="2:23" s="33" customFormat="1" x14ac:dyDescent="0.2">
      <c r="B47" s="48" t="s">
        <v>75</v>
      </c>
      <c r="D47" s="71"/>
      <c r="F47" s="71"/>
      <c r="H47" s="71"/>
      <c r="J47" s="71"/>
      <c r="L47" s="71"/>
      <c r="V47" s="33">
        <v>5339</v>
      </c>
      <c r="W47" s="54"/>
    </row>
    <row r="48" spans="2:23" s="60" customFormat="1" x14ac:dyDescent="0.2">
      <c r="B48" s="60" t="s">
        <v>77</v>
      </c>
      <c r="D48" s="74"/>
      <c r="F48" s="74"/>
      <c r="H48" s="74"/>
      <c r="J48" s="74"/>
      <c r="L48" s="74"/>
      <c r="W48" s="86"/>
    </row>
    <row r="52" spans="2:23" x14ac:dyDescent="0.2">
      <c r="B52" s="39" t="s">
        <v>79</v>
      </c>
    </row>
    <row r="53" spans="2:23" s="33" customFormat="1" x14ac:dyDescent="0.2">
      <c r="B53" s="33" t="s">
        <v>80</v>
      </c>
      <c r="D53" s="71"/>
      <c r="F53" s="71"/>
      <c r="H53" s="71"/>
      <c r="J53" s="71"/>
      <c r="L53" s="71"/>
      <c r="S53" s="33">
        <f>921.911+119.696</f>
        <v>1041.607</v>
      </c>
      <c r="T53" s="33">
        <f>920.729+118.24</f>
        <v>1038.9690000000001</v>
      </c>
      <c r="U53" s="33">
        <f>920+120</f>
        <v>1040</v>
      </c>
      <c r="V53" s="33">
        <f>921+120</f>
        <v>1041</v>
      </c>
      <c r="W53" s="54"/>
    </row>
    <row r="54" spans="2:23" s="33" customFormat="1" x14ac:dyDescent="0.2">
      <c r="B54" s="33" t="s">
        <v>81</v>
      </c>
      <c r="D54" s="71"/>
      <c r="F54" s="71"/>
      <c r="H54" s="71"/>
      <c r="J54" s="71"/>
      <c r="L54" s="71"/>
      <c r="S54" s="33">
        <v>312.19799999999998</v>
      </c>
      <c r="T54" s="33">
        <v>336.36399999999998</v>
      </c>
      <c r="U54" s="33">
        <v>363</v>
      </c>
      <c r="V54" s="33">
        <v>380</v>
      </c>
      <c r="W54" s="54"/>
    </row>
    <row r="55" spans="2:23" s="33" customFormat="1" x14ac:dyDescent="0.2">
      <c r="B55" s="33" t="s">
        <v>82</v>
      </c>
      <c r="D55" s="71"/>
      <c r="F55" s="71"/>
      <c r="H55" s="71"/>
      <c r="J55" s="71"/>
      <c r="L55" s="71"/>
      <c r="S55" s="33">
        <v>1086.6179999999999</v>
      </c>
      <c r="T55" s="33">
        <v>1070.5809999999999</v>
      </c>
      <c r="U55" s="33">
        <v>1066</v>
      </c>
      <c r="V55" s="33">
        <v>1056</v>
      </c>
      <c r="W55" s="54"/>
    </row>
    <row r="56" spans="2:23" s="33" customFormat="1" x14ac:dyDescent="0.2">
      <c r="B56" s="33" t="s">
        <v>83</v>
      </c>
      <c r="D56" s="71"/>
      <c r="F56" s="71"/>
      <c r="H56" s="71"/>
      <c r="J56" s="71"/>
      <c r="L56" s="71"/>
      <c r="S56" s="33">
        <v>5.7</v>
      </c>
      <c r="T56" s="33">
        <v>4.4790000000000001</v>
      </c>
      <c r="U56" s="33">
        <v>8</v>
      </c>
      <c r="V56" s="33">
        <v>8</v>
      </c>
      <c r="W56" s="54"/>
    </row>
    <row r="57" spans="2:23" s="33" customFormat="1" x14ac:dyDescent="0.2">
      <c r="B57" s="33" t="s">
        <v>84</v>
      </c>
      <c r="D57" s="71"/>
      <c r="F57" s="71"/>
      <c r="H57" s="71"/>
      <c r="J57" s="71"/>
      <c r="L57" s="71"/>
      <c r="S57" s="33">
        <v>7.5170000000000003</v>
      </c>
      <c r="T57" s="33">
        <v>7.0839999999999996</v>
      </c>
      <c r="U57" s="33">
        <v>7</v>
      </c>
      <c r="V57" s="33">
        <v>6</v>
      </c>
      <c r="W57" s="54"/>
    </row>
    <row r="58" spans="2:23" s="33" customFormat="1" x14ac:dyDescent="0.2">
      <c r="B58" s="33" t="s">
        <v>85</v>
      </c>
      <c r="D58" s="71"/>
      <c r="F58" s="71"/>
      <c r="H58" s="71"/>
      <c r="J58" s="71"/>
      <c r="L58" s="71"/>
      <c r="S58" s="33">
        <v>22.988</v>
      </c>
      <c r="T58" s="33">
        <v>32.241999999999997</v>
      </c>
      <c r="U58" s="33">
        <v>31</v>
      </c>
      <c r="V58" s="33">
        <v>30</v>
      </c>
      <c r="W58" s="54"/>
    </row>
    <row r="59" spans="2:23" s="33" customFormat="1" x14ac:dyDescent="0.2">
      <c r="B59" s="33" t="s">
        <v>86</v>
      </c>
      <c r="D59" s="71"/>
      <c r="F59" s="71"/>
      <c r="H59" s="71"/>
      <c r="J59" s="71"/>
      <c r="L59" s="71"/>
      <c r="O59" s="33">
        <f t="shared" ref="O59:U59" si="32">SUM(O53:O58)</f>
        <v>0</v>
      </c>
      <c r="P59" s="33">
        <f t="shared" si="32"/>
        <v>0</v>
      </c>
      <c r="Q59" s="33">
        <f t="shared" si="32"/>
        <v>0</v>
      </c>
      <c r="R59" s="33">
        <f t="shared" si="32"/>
        <v>0</v>
      </c>
      <c r="S59" s="33">
        <f t="shared" si="32"/>
        <v>2476.6279999999992</v>
      </c>
      <c r="T59" s="33">
        <f t="shared" si="32"/>
        <v>2489.7189999999996</v>
      </c>
      <c r="U59" s="33">
        <f t="shared" si="32"/>
        <v>2515</v>
      </c>
      <c r="V59" s="33">
        <f>SUM(V53:V58)</f>
        <v>2521</v>
      </c>
      <c r="W59" s="54"/>
    </row>
    <row r="60" spans="2:23" s="32" customFormat="1" x14ac:dyDescent="0.2">
      <c r="B60" s="32" t="s">
        <v>87</v>
      </c>
      <c r="D60" s="70"/>
      <c r="F60" s="70"/>
      <c r="H60" s="70"/>
      <c r="J60" s="70"/>
      <c r="L60" s="70"/>
      <c r="S60" s="32">
        <v>428.20499999999998</v>
      </c>
      <c r="T60" s="32">
        <v>217.68199999999999</v>
      </c>
      <c r="U60" s="32">
        <v>173</v>
      </c>
      <c r="V60" s="32">
        <v>237</v>
      </c>
      <c r="W60" s="84"/>
    </row>
    <row r="61" spans="2:23" s="32" customFormat="1" x14ac:dyDescent="0.2">
      <c r="B61" s="32" t="s">
        <v>88</v>
      </c>
      <c r="D61" s="70"/>
      <c r="F61" s="70"/>
      <c r="H61" s="70"/>
      <c r="J61" s="70"/>
      <c r="L61" s="70"/>
      <c r="S61" s="32">
        <v>588</v>
      </c>
      <c r="T61" s="32">
        <v>605.12599999999998</v>
      </c>
      <c r="U61" s="32">
        <v>863</v>
      </c>
      <c r="V61" s="32">
        <v>764</v>
      </c>
      <c r="W61" s="84"/>
    </row>
    <row r="62" spans="2:23" s="33" customFormat="1" x14ac:dyDescent="0.2">
      <c r="B62" s="33" t="s">
        <v>89</v>
      </c>
      <c r="D62" s="71"/>
      <c r="F62" s="71"/>
      <c r="H62" s="71"/>
      <c r="J62" s="71"/>
      <c r="L62" s="71"/>
      <c r="S62" s="33">
        <v>60.588000000000001</v>
      </c>
      <c r="T62" s="33">
        <v>42.16</v>
      </c>
      <c r="U62" s="33">
        <v>53</v>
      </c>
      <c r="V62" s="33">
        <v>52</v>
      </c>
      <c r="W62" s="54"/>
    </row>
    <row r="63" spans="2:23" s="33" customFormat="1" x14ac:dyDescent="0.2">
      <c r="B63" s="33" t="s">
        <v>108</v>
      </c>
      <c r="D63" s="71"/>
      <c r="F63" s="71"/>
      <c r="H63" s="71"/>
      <c r="J63" s="71"/>
      <c r="L63" s="71"/>
      <c r="S63" s="33">
        <v>0</v>
      </c>
      <c r="T63" s="33">
        <v>0</v>
      </c>
      <c r="U63" s="33">
        <v>9</v>
      </c>
      <c r="V63" s="33">
        <v>12</v>
      </c>
      <c r="W63" s="54"/>
    </row>
    <row r="64" spans="2:23" s="32" customFormat="1" x14ac:dyDescent="0.2">
      <c r="B64" s="32" t="s">
        <v>90</v>
      </c>
      <c r="D64" s="70"/>
      <c r="F64" s="70"/>
      <c r="H64" s="70"/>
      <c r="J64" s="70"/>
      <c r="L64" s="70"/>
      <c r="S64" s="32">
        <v>16.702000000000002</v>
      </c>
      <c r="T64" s="32">
        <v>3.7669999999999999</v>
      </c>
      <c r="U64" s="32">
        <v>25</v>
      </c>
      <c r="V64" s="32">
        <v>1</v>
      </c>
      <c r="W64" s="84"/>
    </row>
    <row r="65" spans="2:23" s="33" customFormat="1" x14ac:dyDescent="0.2">
      <c r="B65" s="33" t="s">
        <v>91</v>
      </c>
      <c r="D65" s="71"/>
      <c r="F65" s="71"/>
      <c r="H65" s="71"/>
      <c r="J65" s="71"/>
      <c r="L65" s="71"/>
      <c r="O65" s="33">
        <f t="shared" ref="O65:U65" si="33">SUM(O59:O64)</f>
        <v>0</v>
      </c>
      <c r="P65" s="33">
        <f t="shared" si="33"/>
        <v>0</v>
      </c>
      <c r="Q65" s="33">
        <f t="shared" si="33"/>
        <v>0</v>
      </c>
      <c r="R65" s="33">
        <f t="shared" si="33"/>
        <v>0</v>
      </c>
      <c r="S65" s="33">
        <f t="shared" si="33"/>
        <v>3570.1229999999996</v>
      </c>
      <c r="T65" s="33">
        <f t="shared" si="33"/>
        <v>3358.4539999999988</v>
      </c>
      <c r="U65" s="33">
        <f t="shared" si="33"/>
        <v>3638</v>
      </c>
      <c r="V65" s="33">
        <f>SUM(V59:V64)</f>
        <v>3587</v>
      </c>
      <c r="W65" s="54"/>
    </row>
    <row r="66" spans="2:23" s="33" customFormat="1" x14ac:dyDescent="0.2">
      <c r="D66" s="71"/>
      <c r="F66" s="71"/>
      <c r="H66" s="71"/>
      <c r="J66" s="71"/>
      <c r="L66" s="71"/>
      <c r="W66" s="54"/>
    </row>
    <row r="67" spans="2:23" s="32" customFormat="1" x14ac:dyDescent="0.2">
      <c r="B67" s="32" t="s">
        <v>92</v>
      </c>
      <c r="D67" s="70"/>
      <c r="F67" s="70"/>
      <c r="H67" s="70"/>
      <c r="J67" s="70"/>
      <c r="L67" s="70"/>
      <c r="S67" s="32">
        <v>561.41800000000001</v>
      </c>
      <c r="T67" s="32">
        <v>723.73599999999999</v>
      </c>
      <c r="U67" s="32">
        <v>950</v>
      </c>
      <c r="V67" s="32">
        <v>873</v>
      </c>
      <c r="W67" s="84"/>
    </row>
    <row r="68" spans="2:23" s="33" customFormat="1" x14ac:dyDescent="0.2">
      <c r="B68" s="33" t="s">
        <v>94</v>
      </c>
      <c r="D68" s="71"/>
      <c r="F68" s="71"/>
      <c r="H68" s="71"/>
      <c r="J68" s="71"/>
      <c r="L68" s="71"/>
      <c r="S68" s="33">
        <f>1146.233+0.171</f>
        <v>1146.404</v>
      </c>
      <c r="T68" s="33">
        <v>1138.634</v>
      </c>
      <c r="U68" s="33">
        <v>1140</v>
      </c>
      <c r="V68" s="33">
        <v>1124</v>
      </c>
      <c r="W68" s="54"/>
    </row>
    <row r="69" spans="2:23" s="33" customFormat="1" x14ac:dyDescent="0.2">
      <c r="B69" s="33" t="s">
        <v>85</v>
      </c>
      <c r="D69" s="71"/>
      <c r="F69" s="71"/>
      <c r="H69" s="71"/>
      <c r="J69" s="71"/>
      <c r="L69" s="71"/>
      <c r="S69" s="33">
        <v>29.007999999999999</v>
      </c>
      <c r="T69" s="33">
        <v>27.475999999999999</v>
      </c>
      <c r="U69" s="33">
        <v>43</v>
      </c>
      <c r="V69" s="33">
        <v>43</v>
      </c>
      <c r="W69" s="54"/>
    </row>
    <row r="70" spans="2:23" s="33" customFormat="1" x14ac:dyDescent="0.2">
      <c r="B70" s="33" t="s">
        <v>97</v>
      </c>
      <c r="D70" s="71"/>
      <c r="F70" s="71"/>
      <c r="H70" s="71"/>
      <c r="J70" s="71"/>
      <c r="L70" s="71"/>
      <c r="S70" s="33">
        <v>0.76600000000000001</v>
      </c>
      <c r="T70" s="33">
        <v>4.5110000000000001</v>
      </c>
      <c r="U70" s="33">
        <v>4</v>
      </c>
      <c r="V70" s="33">
        <v>3</v>
      </c>
      <c r="W70" s="54"/>
    </row>
    <row r="71" spans="2:23" s="33" customFormat="1" x14ac:dyDescent="0.2">
      <c r="B71" s="33" t="s">
        <v>99</v>
      </c>
      <c r="D71" s="71"/>
      <c r="F71" s="71"/>
      <c r="H71" s="71"/>
      <c r="J71" s="71"/>
      <c r="L71" s="71"/>
      <c r="O71" s="33">
        <f t="shared" ref="O71:U71" si="34">SUM(O67:O70)</f>
        <v>0</v>
      </c>
      <c r="P71" s="33">
        <f t="shared" si="34"/>
        <v>0</v>
      </c>
      <c r="Q71" s="33">
        <f t="shared" si="34"/>
        <v>0</v>
      </c>
      <c r="R71" s="33">
        <f t="shared" si="34"/>
        <v>0</v>
      </c>
      <c r="S71" s="33">
        <f t="shared" si="34"/>
        <v>1737.5960000000002</v>
      </c>
      <c r="T71" s="33">
        <f t="shared" si="34"/>
        <v>1894.357</v>
      </c>
      <c r="U71" s="33">
        <f t="shared" si="34"/>
        <v>2137</v>
      </c>
      <c r="V71" s="33">
        <f>SUM(V67:V70)</f>
        <v>2043</v>
      </c>
      <c r="W71" s="54"/>
    </row>
    <row r="72" spans="2:23" s="32" customFormat="1" x14ac:dyDescent="0.2">
      <c r="B72" s="32" t="s">
        <v>92</v>
      </c>
      <c r="D72" s="70"/>
      <c r="F72" s="70"/>
      <c r="H72" s="70"/>
      <c r="J72" s="70"/>
      <c r="L72" s="70"/>
      <c r="S72" s="32">
        <f>0.928+211.062</f>
        <v>211.99</v>
      </c>
      <c r="T72" s="32">
        <v>6.875</v>
      </c>
      <c r="U72" s="32">
        <v>6</v>
      </c>
      <c r="V72" s="32">
        <v>81</v>
      </c>
      <c r="W72" s="84"/>
    </row>
    <row r="73" spans="2:23" s="33" customFormat="1" x14ac:dyDescent="0.2">
      <c r="B73" s="33" t="s">
        <v>93</v>
      </c>
      <c r="D73" s="71"/>
      <c r="F73" s="71"/>
      <c r="H73" s="71"/>
      <c r="J73" s="71"/>
      <c r="L73" s="71"/>
      <c r="S73" s="33">
        <v>419.99900000000002</v>
      </c>
      <c r="T73" s="33">
        <v>524.26</v>
      </c>
      <c r="U73" s="33">
        <v>564</v>
      </c>
      <c r="V73" s="33">
        <v>541</v>
      </c>
      <c r="W73" s="54"/>
    </row>
    <row r="74" spans="2:23" s="33" customFormat="1" x14ac:dyDescent="0.2">
      <c r="B74" s="33" t="s">
        <v>94</v>
      </c>
      <c r="D74" s="71"/>
      <c r="F74" s="71"/>
      <c r="H74" s="71"/>
      <c r="J74" s="71"/>
      <c r="L74" s="71"/>
      <c r="S74" s="33">
        <v>149.011</v>
      </c>
      <c r="T74" s="33">
        <v>162.73500000000001</v>
      </c>
      <c r="U74" s="33">
        <v>170</v>
      </c>
      <c r="V74" s="33">
        <v>177</v>
      </c>
      <c r="W74" s="54"/>
    </row>
    <row r="75" spans="2:23" s="33" customFormat="1" x14ac:dyDescent="0.2">
      <c r="B75" s="33" t="s">
        <v>95</v>
      </c>
      <c r="D75" s="71"/>
      <c r="F75" s="71"/>
      <c r="H75" s="71"/>
      <c r="J75" s="71"/>
      <c r="L75" s="71"/>
      <c r="S75" s="33">
        <f>150.087+1.847</f>
        <v>151.934</v>
      </c>
      <c r="T75" s="33">
        <v>16.140999999999998</v>
      </c>
      <c r="U75" s="33">
        <v>0</v>
      </c>
      <c r="V75" s="33">
        <v>13</v>
      </c>
      <c r="W75" s="54"/>
    </row>
    <row r="76" spans="2:23" s="33" customFormat="1" x14ac:dyDescent="0.2">
      <c r="B76" s="33" t="s">
        <v>96</v>
      </c>
      <c r="D76" s="71"/>
      <c r="F76" s="71"/>
      <c r="H76" s="71"/>
      <c r="J76" s="71"/>
      <c r="L76" s="71"/>
      <c r="S76" s="33">
        <v>26.114999999999998</v>
      </c>
      <c r="T76" s="33">
        <v>12.510999999999999</v>
      </c>
      <c r="U76" s="33">
        <v>4</v>
      </c>
      <c r="V76" s="33">
        <v>6</v>
      </c>
      <c r="W76" s="54"/>
    </row>
    <row r="77" spans="2:23" s="33" customFormat="1" x14ac:dyDescent="0.2">
      <c r="B77" s="33" t="s">
        <v>97</v>
      </c>
      <c r="D77" s="71"/>
      <c r="F77" s="71"/>
      <c r="H77" s="71"/>
      <c r="J77" s="71"/>
      <c r="L77" s="71"/>
      <c r="S77" s="33">
        <v>6.0789999999999997</v>
      </c>
      <c r="T77" s="33">
        <v>8.6069999999999993</v>
      </c>
      <c r="U77" s="33">
        <v>11</v>
      </c>
      <c r="V77" s="33">
        <v>6</v>
      </c>
      <c r="W77" s="54"/>
    </row>
    <row r="78" spans="2:23" s="33" customFormat="1" x14ac:dyDescent="0.2">
      <c r="B78" s="33" t="s">
        <v>98</v>
      </c>
      <c r="D78" s="71"/>
      <c r="F78" s="71"/>
      <c r="H78" s="71"/>
      <c r="J78" s="71"/>
      <c r="L78" s="71"/>
      <c r="O78" s="33">
        <f t="shared" ref="O78:U78" si="35">SUM(O71:O77)</f>
        <v>0</v>
      </c>
      <c r="P78" s="33">
        <f t="shared" si="35"/>
        <v>0</v>
      </c>
      <c r="Q78" s="33">
        <f t="shared" si="35"/>
        <v>0</v>
      </c>
      <c r="R78" s="33">
        <f t="shared" si="35"/>
        <v>0</v>
      </c>
      <c r="S78" s="33">
        <f t="shared" si="35"/>
        <v>2702.7240000000002</v>
      </c>
      <c r="T78" s="33">
        <f t="shared" si="35"/>
        <v>2625.4860000000003</v>
      </c>
      <c r="U78" s="33">
        <f t="shared" si="35"/>
        <v>2892</v>
      </c>
      <c r="V78" s="33">
        <f>SUM(V71:V77)</f>
        <v>2867</v>
      </c>
      <c r="W78" s="54"/>
    </row>
    <row r="79" spans="2:23" s="33" customFormat="1" x14ac:dyDescent="0.2">
      <c r="D79" s="71"/>
      <c r="F79" s="71"/>
      <c r="H79" s="71"/>
      <c r="J79" s="71"/>
      <c r="L79" s="71"/>
      <c r="W79" s="54"/>
    </row>
    <row r="80" spans="2:23" s="33" customFormat="1" x14ac:dyDescent="0.2">
      <c r="B80" s="33" t="s">
        <v>100</v>
      </c>
      <c r="D80" s="71"/>
      <c r="F80" s="71"/>
      <c r="H80" s="71"/>
      <c r="J80" s="71"/>
      <c r="L80" s="71"/>
      <c r="S80" s="33">
        <v>867.399</v>
      </c>
      <c r="T80" s="33">
        <v>732.96799999999996</v>
      </c>
      <c r="U80" s="33">
        <v>746</v>
      </c>
      <c r="V80" s="33">
        <v>720</v>
      </c>
      <c r="W80" s="54"/>
    </row>
    <row r="81" spans="2:23" s="33" customFormat="1" x14ac:dyDescent="0.2">
      <c r="B81" s="33" t="s">
        <v>101</v>
      </c>
      <c r="D81" s="71"/>
      <c r="F81" s="71"/>
      <c r="H81" s="71"/>
      <c r="J81" s="71"/>
      <c r="L81" s="71"/>
      <c r="S81" s="33">
        <f>+S80+S78</f>
        <v>3570.123</v>
      </c>
      <c r="T81" s="33">
        <f>+T80+T78</f>
        <v>3358.4540000000002</v>
      </c>
      <c r="U81" s="33">
        <f>+U80+U78</f>
        <v>3638</v>
      </c>
      <c r="V81" s="33">
        <f>+V80+V78</f>
        <v>3587</v>
      </c>
      <c r="W81" s="54"/>
    </row>
    <row r="82" spans="2:23" s="33" customFormat="1" x14ac:dyDescent="0.2">
      <c r="D82" s="71"/>
      <c r="F82" s="71"/>
      <c r="H82" s="71"/>
      <c r="J82" s="71"/>
      <c r="L82" s="71"/>
      <c r="W82" s="54"/>
    </row>
    <row r="83" spans="2:23" s="33" customFormat="1" x14ac:dyDescent="0.2">
      <c r="B83" s="33" t="s">
        <v>102</v>
      </c>
      <c r="D83" s="71"/>
      <c r="F83" s="71"/>
      <c r="H83" s="71"/>
      <c r="J83" s="71"/>
      <c r="L83" s="71"/>
      <c r="S83" s="33">
        <f t="shared" ref="S83:T83" si="36">S65-S78</f>
        <v>867.39899999999943</v>
      </c>
      <c r="T83" s="33">
        <f t="shared" ref="T83:U83" si="37">T65-T78</f>
        <v>732.96799999999848</v>
      </c>
      <c r="U83" s="33">
        <f t="shared" ref="U83:V83" si="38">U65-U78</f>
        <v>746</v>
      </c>
      <c r="V83" s="33">
        <f>V65-V78</f>
        <v>720</v>
      </c>
      <c r="W83" s="54"/>
    </row>
    <row r="84" spans="2:23" s="53" customFormat="1" x14ac:dyDescent="0.2">
      <c r="B84" s="53" t="s">
        <v>103</v>
      </c>
      <c r="D84" s="75"/>
      <c r="F84" s="75"/>
      <c r="H84" s="75"/>
      <c r="J84" s="75"/>
      <c r="L84" s="75"/>
      <c r="S84" s="53">
        <f t="shared" ref="S84" si="39">S83/S22</f>
        <v>0.86690486422738977</v>
      </c>
      <c r="T84" s="53">
        <f t="shared" ref="T84" si="40">T83/T22</f>
        <v>0.73245894103597842</v>
      </c>
      <c r="U84" s="53">
        <f>U83/U22</f>
        <v>0.74520933289779545</v>
      </c>
      <c r="V84" s="53">
        <f>V83/V22</f>
        <v>0.71885486420132727</v>
      </c>
      <c r="W84" s="87"/>
    </row>
    <row r="85" spans="2:23" s="33" customFormat="1" x14ac:dyDescent="0.2">
      <c r="D85" s="71"/>
      <c r="F85" s="71"/>
      <c r="H85" s="71"/>
      <c r="J85" s="71"/>
      <c r="L85" s="71"/>
      <c r="W85" s="54"/>
    </row>
    <row r="86" spans="2:23" s="33" customFormat="1" x14ac:dyDescent="0.2">
      <c r="B86" s="33" t="s">
        <v>6</v>
      </c>
      <c r="D86" s="71"/>
      <c r="F86" s="71"/>
      <c r="H86" s="71"/>
      <c r="J86" s="71"/>
      <c r="L86" s="71"/>
      <c r="S86" s="33">
        <f t="shared" ref="S86:T86" si="41">+S60+S64</f>
        <v>444.90699999999998</v>
      </c>
      <c r="T86" s="33">
        <f t="shared" ref="T86:U86" si="42">+T60+T64</f>
        <v>221.44899999999998</v>
      </c>
      <c r="U86" s="33">
        <f t="shared" ref="U86:V86" si="43">+U60+U64</f>
        <v>198</v>
      </c>
      <c r="V86" s="33">
        <f>+V60+V64</f>
        <v>238</v>
      </c>
      <c r="W86" s="54"/>
    </row>
    <row r="87" spans="2:23" s="33" customFormat="1" x14ac:dyDescent="0.2">
      <c r="B87" s="33" t="s">
        <v>7</v>
      </c>
      <c r="D87" s="71"/>
      <c r="F87" s="71"/>
      <c r="H87" s="71"/>
      <c r="J87" s="71"/>
      <c r="L87" s="71"/>
      <c r="S87" s="33">
        <f t="shared" ref="S87:T87" si="44">+S67+S72</f>
        <v>773.40800000000002</v>
      </c>
      <c r="T87" s="33">
        <f t="shared" ref="T87:U87" si="45">+T67+T72</f>
        <v>730.61099999999999</v>
      </c>
      <c r="U87" s="33">
        <f t="shared" ref="U87:V87" si="46">+U67+U72</f>
        <v>956</v>
      </c>
      <c r="V87" s="33">
        <f>+V67+V72</f>
        <v>954</v>
      </c>
      <c r="W87" s="54"/>
    </row>
    <row r="88" spans="2:23" s="33" customFormat="1" x14ac:dyDescent="0.2">
      <c r="B88" s="33" t="s">
        <v>8</v>
      </c>
      <c r="D88" s="71"/>
      <c r="F88" s="71"/>
      <c r="H88" s="71"/>
      <c r="J88" s="71"/>
      <c r="L88" s="71"/>
      <c r="O88" s="33">
        <f t="shared" ref="O88:U88" si="47">O86-O87</f>
        <v>0</v>
      </c>
      <c r="P88" s="33">
        <f t="shared" si="47"/>
        <v>0</v>
      </c>
      <c r="Q88" s="33">
        <f t="shared" si="47"/>
        <v>0</v>
      </c>
      <c r="R88" s="33">
        <f t="shared" si="47"/>
        <v>0</v>
      </c>
      <c r="S88" s="33">
        <f t="shared" si="47"/>
        <v>-328.50100000000003</v>
      </c>
      <c r="T88" s="33">
        <f t="shared" si="47"/>
        <v>-509.16200000000003</v>
      </c>
      <c r="U88" s="33">
        <f t="shared" si="47"/>
        <v>-758</v>
      </c>
      <c r="V88" s="33">
        <f>V86-V87</f>
        <v>-716</v>
      </c>
      <c r="W88" s="54"/>
    </row>
    <row r="89" spans="2:23" s="33" customFormat="1" x14ac:dyDescent="0.2">
      <c r="D89" s="71"/>
      <c r="F89" s="71"/>
      <c r="H89" s="71"/>
      <c r="J89" s="71"/>
      <c r="L89" s="71"/>
      <c r="W89" s="54"/>
    </row>
    <row r="90" spans="2:23" s="32" customFormat="1" x14ac:dyDescent="0.2">
      <c r="B90" s="32" t="s">
        <v>104</v>
      </c>
      <c r="D90" s="70"/>
      <c r="F90" s="70"/>
      <c r="H90" s="70"/>
      <c r="J90" s="70"/>
      <c r="L90" s="70"/>
      <c r="T90" s="38">
        <f>T61/S61-1</f>
        <v>2.9125850340135928E-2</v>
      </c>
      <c r="U90" s="38">
        <f>U61/T61-1</f>
        <v>0.42614926478121928</v>
      </c>
      <c r="V90" s="38">
        <f>V61/U61-1</f>
        <v>-0.11471610660486675</v>
      </c>
      <c r="W90" s="84"/>
    </row>
    <row r="91" spans="2:23" s="33" customFormat="1" x14ac:dyDescent="0.2">
      <c r="B91" s="33" t="s">
        <v>105</v>
      </c>
      <c r="D91" s="71"/>
      <c r="F91" s="71"/>
      <c r="H91" s="71"/>
      <c r="J91" s="71"/>
      <c r="L91" s="71"/>
      <c r="O91" s="52" t="s">
        <v>74</v>
      </c>
      <c r="P91" s="52" t="s">
        <v>74</v>
      </c>
      <c r="Q91" s="52" t="s">
        <v>74</v>
      </c>
      <c r="R91" s="52" t="s">
        <v>74</v>
      </c>
      <c r="S91" s="52" t="s">
        <v>74</v>
      </c>
      <c r="T91" s="52" t="s">
        <v>74</v>
      </c>
      <c r="U91" s="52" t="s">
        <v>74</v>
      </c>
      <c r="V91" s="52" t="s">
        <v>74</v>
      </c>
      <c r="W91" s="54"/>
    </row>
    <row r="92" spans="2:23" s="33" customFormat="1" x14ac:dyDescent="0.2">
      <c r="B92" s="33" t="s">
        <v>127</v>
      </c>
      <c r="D92" s="71"/>
      <c r="F92" s="71"/>
      <c r="H92" s="71"/>
      <c r="J92" s="71"/>
      <c r="L92" s="71"/>
      <c r="O92" s="55"/>
      <c r="P92" s="55"/>
      <c r="Q92" s="55"/>
      <c r="R92" s="55"/>
      <c r="S92" s="55">
        <f t="shared" ref="O92:V92" si="48">S61/S4</f>
        <v>0.15419363416301571</v>
      </c>
      <c r="T92" s="55">
        <f t="shared" si="48"/>
        <v>0.12603050136157493</v>
      </c>
      <c r="U92" s="55">
        <f t="shared" si="48"/>
        <v>0.18467793708538413</v>
      </c>
      <c r="V92" s="55">
        <f>V61/V4</f>
        <v>0.15332129239414008</v>
      </c>
      <c r="W92" s="54"/>
    </row>
    <row r="94" spans="2:23" s="40" customFormat="1" x14ac:dyDescent="0.2">
      <c r="B94" s="40" t="s">
        <v>106</v>
      </c>
      <c r="D94" s="68"/>
      <c r="F94" s="68"/>
      <c r="H94" s="68"/>
      <c r="J94" s="68"/>
      <c r="L94" s="68"/>
      <c r="S94" s="40">
        <v>2.0379999999999998</v>
      </c>
      <c r="T94" s="40">
        <v>4.5180999999999996</v>
      </c>
      <c r="U94" s="40">
        <v>5.0332999999999997</v>
      </c>
      <c r="V94" s="40">
        <v>4.6698000000000004</v>
      </c>
      <c r="W94" s="81"/>
    </row>
    <row r="95" spans="2:23" s="49" customFormat="1" x14ac:dyDescent="0.2">
      <c r="B95" s="49" t="s">
        <v>107</v>
      </c>
      <c r="D95" s="73"/>
      <c r="F95" s="73"/>
      <c r="H95" s="73"/>
      <c r="J95" s="73"/>
      <c r="L95" s="73"/>
      <c r="S95" s="49">
        <f t="shared" ref="S95" si="49">S94*S22</f>
        <v>2039.16166</v>
      </c>
      <c r="T95" s="49">
        <f t="shared" ref="T95" si="50">T94*T22</f>
        <v>4521.2400794999994</v>
      </c>
      <c r="U95" s="49">
        <f t="shared" ref="U95" si="51">U94*U22</f>
        <v>5038.6403313000001</v>
      </c>
      <c r="V95" s="49">
        <f>V94*V22</f>
        <v>4677.2389914000005</v>
      </c>
      <c r="W95" s="54"/>
    </row>
    <row r="96" spans="2:23" s="49" customFormat="1" x14ac:dyDescent="0.2">
      <c r="B96" s="49" t="s">
        <v>9</v>
      </c>
      <c r="D96" s="73"/>
      <c r="F96" s="73"/>
      <c r="H96" s="73"/>
      <c r="J96" s="73"/>
      <c r="L96" s="73"/>
      <c r="S96" s="49">
        <f t="shared" ref="S96" si="52">S95-S88</f>
        <v>2367.66266</v>
      </c>
      <c r="T96" s="49">
        <f t="shared" ref="T96" si="53">T95-T88</f>
        <v>5030.4020794999997</v>
      </c>
      <c r="U96" s="49">
        <f t="shared" ref="U96" si="54">U95-U88</f>
        <v>5796.6403313000001</v>
      </c>
      <c r="V96" s="49">
        <f>V95-V88</f>
        <v>5393.2389914000005</v>
      </c>
      <c r="W96" s="54"/>
    </row>
    <row r="98" spans="2:23" x14ac:dyDescent="0.2">
      <c r="B98" s="39" t="s">
        <v>30</v>
      </c>
    </row>
    <row r="99" spans="2:23" s="60" customFormat="1" x14ac:dyDescent="0.2">
      <c r="B99" s="60" t="s">
        <v>31</v>
      </c>
      <c r="D99" s="74"/>
      <c r="F99" s="74"/>
      <c r="H99" s="74"/>
      <c r="J99" s="74"/>
      <c r="L99" s="74"/>
      <c r="S99" s="63">
        <f t="shared" ref="S99:V99" si="55">S94/S84</f>
        <v>2.3508923344389392</v>
      </c>
      <c r="T99" s="63">
        <f t="shared" si="55"/>
        <v>6.1684003660460069</v>
      </c>
      <c r="U99" s="63">
        <f t="shared" si="55"/>
        <v>6.7542095593833773</v>
      </c>
      <c r="V99" s="63">
        <f>V94/V84</f>
        <v>6.4961652658333344</v>
      </c>
      <c r="W99" s="86"/>
    </row>
    <row r="100" spans="2:23" s="60" customFormat="1" x14ac:dyDescent="0.2">
      <c r="B100" s="60" t="s">
        <v>32</v>
      </c>
      <c r="D100" s="74"/>
      <c r="F100" s="74"/>
      <c r="H100" s="74"/>
      <c r="J100" s="74"/>
      <c r="L100" s="74"/>
      <c r="S100" s="63">
        <f t="shared" ref="S100:V100" si="56">S95/S4</f>
        <v>0.53473766496817654</v>
      </c>
      <c r="T100" s="63">
        <f t="shared" si="56"/>
        <v>0.94164546556491024</v>
      </c>
      <c r="U100" s="63">
        <f t="shared" si="56"/>
        <v>1.0782453095013911</v>
      </c>
      <c r="V100" s="63">
        <f>V95/V4</f>
        <v>0.93863917146297426</v>
      </c>
      <c r="W100" s="86"/>
    </row>
    <row r="101" spans="2:23" s="60" customFormat="1" x14ac:dyDescent="0.2">
      <c r="B101" s="60" t="s">
        <v>34</v>
      </c>
      <c r="D101" s="74"/>
      <c r="F101" s="74"/>
      <c r="H101" s="74"/>
      <c r="J101" s="74"/>
      <c r="L101" s="74"/>
      <c r="S101" s="63">
        <f t="shared" ref="S101:V101" si="57">S94/S21</f>
        <v>10.008941364720664</v>
      </c>
      <c r="T101" s="63">
        <f t="shared" si="57"/>
        <v>11.015271163254162</v>
      </c>
      <c r="U101" s="63">
        <f t="shared" si="57"/>
        <v>11.556514521330275</v>
      </c>
      <c r="V101" s="63">
        <f>V94/V21</f>
        <v>12.117199459585493</v>
      </c>
      <c r="W101" s="86"/>
    </row>
    <row r="102" spans="2:23" s="50" customFormat="1" x14ac:dyDescent="0.2">
      <c r="B102" s="50" t="s">
        <v>33</v>
      </c>
      <c r="D102" s="76"/>
      <c r="F102" s="76"/>
      <c r="H102" s="76"/>
      <c r="J102" s="76"/>
      <c r="L102" s="76"/>
      <c r="S102" s="62">
        <f t="shared" ref="S102:V102" si="58">S96/S4</f>
        <v>0.62088181975760648</v>
      </c>
      <c r="T102" s="62">
        <f t="shared" si="58"/>
        <v>1.0476894004384114</v>
      </c>
      <c r="U102" s="62">
        <f t="shared" si="58"/>
        <v>1.2404537409158998</v>
      </c>
      <c r="V102" s="62">
        <f>V96/V4</f>
        <v>1.0823277125025086</v>
      </c>
      <c r="W102" s="88"/>
    </row>
    <row r="103" spans="2:23" s="50" customFormat="1" x14ac:dyDescent="0.2">
      <c r="B103" s="50" t="s">
        <v>35</v>
      </c>
      <c r="D103" s="76"/>
      <c r="F103" s="76"/>
      <c r="H103" s="76"/>
      <c r="J103" s="76"/>
      <c r="L103" s="76"/>
      <c r="S103" s="62">
        <f t="shared" ref="S103:V103" si="59">S96/S20</f>
        <v>11.621342829375557</v>
      </c>
      <c r="T103" s="62">
        <f t="shared" si="59"/>
        <v>12.255762134183771</v>
      </c>
      <c r="U103" s="62">
        <f t="shared" si="59"/>
        <v>13.295046631422018</v>
      </c>
      <c r="V103" s="62">
        <f>V96/V20</f>
        <v>13.97212173937824</v>
      </c>
      <c r="W103" s="88"/>
    </row>
    <row r="105" spans="2:23" s="50" customFormat="1" x14ac:dyDescent="0.2">
      <c r="B105" s="50" t="s">
        <v>130</v>
      </c>
      <c r="D105" s="76"/>
      <c r="F105" s="76"/>
      <c r="H105" s="76"/>
      <c r="J105" s="76"/>
      <c r="L105" s="76"/>
      <c r="S105" s="62">
        <f t="shared" ref="S105:V105" si="60">S87/S80</f>
        <v>0.89164041000738992</v>
      </c>
      <c r="T105" s="62">
        <f t="shared" si="60"/>
        <v>0.99678430709116905</v>
      </c>
      <c r="U105" s="62">
        <f t="shared" si="60"/>
        <v>1.2815013404825737</v>
      </c>
      <c r="V105" s="62">
        <f>V87/V80</f>
        <v>1.325</v>
      </c>
      <c r="W105" s="88"/>
    </row>
  </sheetData>
  <hyperlinks>
    <hyperlink ref="V1" r:id="rId1" location="page=1" xr:uid="{E121E959-3971-4F0C-9D31-6597A2936EC2}"/>
    <hyperlink ref="T1" r:id="rId2" xr:uid="{7837FB7C-00FB-40DB-8535-E935902869EF}"/>
  </hyperlinks>
  <pageMargins left="0.7" right="0.7" top="0.75" bottom="0.75" header="0.3" footer="0.3"/>
  <pageSetup paperSize="125" orientation="portrait" horizontalDpi="203" verticalDpi="203" r:id="rId3"/>
  <ignoredErrors>
    <ignoredError sqref="S7" formula="1"/>
  </ignoredErrors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2023-08-21T09:30:14Z</dcterms:created>
  <dcterms:modified xsi:type="dcterms:W3CDTF">2023-08-21T17:27:15Z</dcterms:modified>
</cp:coreProperties>
</file>