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FB3FF4E-1EE4-45FB-9DF8-4E5FE2DCDE15}" xr6:coauthVersionLast="36" xr6:coauthVersionMax="36" xr10:uidLastSave="{00000000-0000-0000-0000-000000000000}"/>
  <bookViews>
    <workbookView xWindow="0" yWindow="0" windowWidth="28800" windowHeight="12225" xr2:uid="{F8D34B35-9CB9-43D1-AD57-473E4BE04DBD}"/>
  </bookViews>
  <sheets>
    <sheet name="Main" sheetId="1" r:id="rId1"/>
    <sheet name="Financial Mode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2" l="1"/>
  <c r="L82" i="2"/>
  <c r="K80" i="2"/>
  <c r="L80" i="2"/>
  <c r="K79" i="2"/>
  <c r="L79" i="2"/>
  <c r="K75" i="2"/>
  <c r="K74" i="2"/>
  <c r="K76" i="2" s="1"/>
  <c r="K72" i="2"/>
  <c r="K71" i="2"/>
  <c r="K68" i="2" s="1"/>
  <c r="K69" i="2" s="1"/>
  <c r="K52" i="2"/>
  <c r="G24" i="2"/>
  <c r="K33" i="2"/>
  <c r="K32" i="2"/>
  <c r="K31" i="2"/>
  <c r="K30" i="2"/>
  <c r="G33" i="2"/>
  <c r="G32" i="2"/>
  <c r="G31" i="2"/>
  <c r="G30" i="2"/>
  <c r="G20" i="2"/>
  <c r="H28" i="2"/>
  <c r="L28" i="2"/>
  <c r="K24" i="2"/>
  <c r="K20" i="2"/>
  <c r="J21" i="2" l="1"/>
  <c r="J23" i="2" s="1"/>
  <c r="I21" i="2"/>
  <c r="I23" i="2" s="1"/>
  <c r="H21" i="2"/>
  <c r="H23" i="2" s="1"/>
  <c r="F21" i="2"/>
  <c r="E21" i="2"/>
  <c r="D21" i="2"/>
  <c r="C21" i="2"/>
  <c r="C23" i="2" s="1"/>
  <c r="F23" i="2"/>
  <c r="E23" i="2"/>
  <c r="D23" i="2"/>
  <c r="K8" i="2"/>
  <c r="K10" i="2" s="1"/>
  <c r="K15" i="2" s="1"/>
  <c r="K21" i="2" s="1"/>
  <c r="K23" i="2" s="1"/>
  <c r="J8" i="2"/>
  <c r="I8" i="2"/>
  <c r="H8" i="2"/>
  <c r="G8" i="2"/>
  <c r="G10" i="2" s="1"/>
  <c r="F8" i="2"/>
  <c r="E8" i="2"/>
  <c r="E10" i="2" s="1"/>
  <c r="E15" i="2" s="1"/>
  <c r="D8" i="2"/>
  <c r="D10" i="2" s="1"/>
  <c r="D15" i="2" s="1"/>
  <c r="C8" i="2"/>
  <c r="C10" i="2" s="1"/>
  <c r="C15" i="2" s="1"/>
  <c r="C28" i="1"/>
  <c r="H10" i="2"/>
  <c r="L8" i="2"/>
  <c r="J75" i="2"/>
  <c r="J74" i="2"/>
  <c r="J76" i="2" s="1"/>
  <c r="J52" i="2"/>
  <c r="H20" i="2"/>
  <c r="L15" i="2"/>
  <c r="L21" i="2" s="1"/>
  <c r="L20" i="2"/>
  <c r="D11" i="1"/>
  <c r="D10" i="1"/>
  <c r="D9" i="1"/>
  <c r="D7" i="1"/>
  <c r="L75" i="2"/>
  <c r="C10" i="1" s="1"/>
  <c r="L74" i="2"/>
  <c r="C9" i="1" s="1"/>
  <c r="L30" i="2"/>
  <c r="J10" i="2"/>
  <c r="J15" i="2" s="1"/>
  <c r="I10" i="2"/>
  <c r="I15" i="2" s="1"/>
  <c r="F10" i="2"/>
  <c r="F15" i="2" s="1"/>
  <c r="L10" i="2"/>
  <c r="L52" i="2"/>
  <c r="L60" i="2"/>
  <c r="L66" i="2" s="1"/>
  <c r="K60" i="2"/>
  <c r="K66" i="2" s="1"/>
  <c r="J60" i="2"/>
  <c r="J66" i="2" s="1"/>
  <c r="I60" i="2"/>
  <c r="I66" i="2" s="1"/>
  <c r="H60" i="2"/>
  <c r="H66" i="2" s="1"/>
  <c r="G60" i="2"/>
  <c r="G66" i="2" s="1"/>
  <c r="F60" i="2"/>
  <c r="F66" i="2" s="1"/>
  <c r="E60" i="2"/>
  <c r="E66" i="2" s="1"/>
  <c r="D60" i="2"/>
  <c r="C60" i="2"/>
  <c r="L48" i="2"/>
  <c r="K48" i="2"/>
  <c r="K54" i="2" s="1"/>
  <c r="J48" i="2"/>
  <c r="I48" i="2"/>
  <c r="I54" i="2" s="1"/>
  <c r="H48" i="2"/>
  <c r="H54" i="2" s="1"/>
  <c r="G48" i="2"/>
  <c r="G54" i="2" s="1"/>
  <c r="F48" i="2"/>
  <c r="F54" i="2" s="1"/>
  <c r="E48" i="2"/>
  <c r="E54" i="2" s="1"/>
  <c r="D48" i="2"/>
  <c r="D54" i="2" s="1"/>
  <c r="C48" i="2"/>
  <c r="C54" i="2" s="1"/>
  <c r="D66" i="2"/>
  <c r="C66" i="2"/>
  <c r="G15" i="2" l="1"/>
  <c r="G21" i="2" s="1"/>
  <c r="G23" i="2" s="1"/>
  <c r="K27" i="2"/>
  <c r="H15" i="2"/>
  <c r="H31" i="2" s="1"/>
  <c r="H30" i="2"/>
  <c r="L27" i="2"/>
  <c r="H33" i="2"/>
  <c r="L54" i="2"/>
  <c r="L71" i="2" s="1"/>
  <c r="L23" i="2"/>
  <c r="L33" i="2"/>
  <c r="L72" i="2"/>
  <c r="C35" i="1" s="1"/>
  <c r="L68" i="2"/>
  <c r="L69" i="2" s="1"/>
  <c r="L31" i="2"/>
  <c r="J54" i="2"/>
  <c r="J71" i="2" s="1"/>
  <c r="J68" i="2" s="1"/>
  <c r="J69" i="2" s="1"/>
  <c r="L76" i="2"/>
  <c r="H32" i="2" l="1"/>
  <c r="H24" i="2"/>
  <c r="L24" i="2"/>
  <c r="L32" i="2"/>
  <c r="C8" i="1"/>
  <c r="C11" i="1"/>
  <c r="C12" i="1" l="1"/>
</calcChain>
</file>

<file path=xl/sharedStrings.xml><?xml version="1.0" encoding="utf-8"?>
<sst xmlns="http://schemas.openxmlformats.org/spreadsheetml/2006/main" count="132" uniqueCount="118">
  <si>
    <t>$BOWL</t>
  </si>
  <si>
    <t>Bowlero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</si>
  <si>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</si>
  <si>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</si>
  <si>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</si>
  <si>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</si>
  <si>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</si>
  <si>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</si>
  <si>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</si>
  <si>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</si>
  <si>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</si>
  <si>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</si>
  <si>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</si>
  <si>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Management</t>
  </si>
  <si>
    <t>HQ</t>
  </si>
  <si>
    <t>Founded</t>
  </si>
  <si>
    <t>IPO</t>
  </si>
  <si>
    <t>Emply.</t>
  </si>
  <si>
    <t>Sites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</si>
  <si>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</si>
  <si>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</si>
  <si>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</si>
  <si>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</si>
  <si>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</si>
  <si>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</si>
  <si>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</si>
  <si>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</si>
  <si>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</si>
  <si>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Mechanicsville, VA</t>
  </si>
  <si>
    <t>Thomas F. Shannon</t>
  </si>
  <si>
    <t>Brett Parker</t>
  </si>
  <si>
    <t>Vice Chair</t>
  </si>
  <si>
    <t>CAO</t>
  </si>
  <si>
    <t>Jeffery Kostenli</t>
  </si>
  <si>
    <t>Q121</t>
  </si>
  <si>
    <t>Q221</t>
  </si>
  <si>
    <t>Q321</t>
  </si>
  <si>
    <t>Q421</t>
  </si>
  <si>
    <t>Q122</t>
  </si>
  <si>
    <t>Q222</t>
  </si>
  <si>
    <t>Q322</t>
  </si>
  <si>
    <t>Q422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</si>
  <si>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</si>
  <si>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</si>
  <si>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</si>
  <si>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</si>
  <si>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</si>
  <si>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</si>
  <si>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</si>
  <si>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</si>
  <si>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</si>
  <si>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</si>
  <si>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</si>
  <si>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</si>
  <si>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</si>
  <si>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</si>
  <si>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Q123</t>
  </si>
  <si>
    <t>Q223</t>
  </si>
  <si>
    <t>Revenue</t>
  </si>
  <si>
    <t>COGS</t>
  </si>
  <si>
    <t>Gross Profit</t>
  </si>
  <si>
    <t>SG&amp;A</t>
  </si>
  <si>
    <t>Asset Impairment</t>
  </si>
  <si>
    <t>Gain on Sale of Assets</t>
  </si>
  <si>
    <t>Other Operating Expenses</t>
  </si>
  <si>
    <t>Operating Income</t>
  </si>
  <si>
    <t>Interest Expense, Net</t>
  </si>
  <si>
    <t>Fair Value Earnout Liability</t>
  </si>
  <si>
    <t>Fair Value Warrant Liability</t>
  </si>
  <si>
    <t>Other Income</t>
  </si>
  <si>
    <t>Total Other Expense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</si>
  <si>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</si>
  <si>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</si>
  <si>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</si>
  <si>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</si>
  <si>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</si>
  <si>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</si>
  <si>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</si>
  <si>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</si>
  <si>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Tax Rate</t>
  </si>
  <si>
    <t>Net Margin</t>
  </si>
  <si>
    <t>Non-Finance Metrics</t>
  </si>
  <si>
    <t>Balance Sheet</t>
  </si>
  <si>
    <t>Restricted Cash</t>
  </si>
  <si>
    <t>Marketable Securities</t>
  </si>
  <si>
    <t>A/R</t>
  </si>
  <si>
    <t>Inventories</t>
  </si>
  <si>
    <t>Prepaid Expenses &amp; OCA</t>
  </si>
  <si>
    <t>Assets Held For Sale</t>
  </si>
  <si>
    <t>TCA</t>
  </si>
  <si>
    <t>PP&amp;E</t>
  </si>
  <si>
    <t>Internal Use Software, net</t>
  </si>
  <si>
    <t>Goodwill+Intangibles</t>
  </si>
  <si>
    <t>Other Assets</t>
  </si>
  <si>
    <t>Assets</t>
  </si>
  <si>
    <t>A/P</t>
  </si>
  <si>
    <t>Accrued Expenses</t>
  </si>
  <si>
    <t>Current Maturities of LT Debt</t>
  </si>
  <si>
    <t>Long-Term Capital Lease</t>
  </si>
  <si>
    <t>Earnout Liability</t>
  </si>
  <si>
    <t>Other LT Liabilities</t>
  </si>
  <si>
    <t>Deferred Income Taxes</t>
  </si>
  <si>
    <t>Liabilities</t>
  </si>
  <si>
    <t>Other Current Liabilities</t>
  </si>
  <si>
    <t>TCL</t>
  </si>
  <si>
    <t>Long-Term Debt</t>
  </si>
  <si>
    <t>S/E</t>
  </si>
  <si>
    <t>S/E+L</t>
  </si>
  <si>
    <t>Book Value</t>
  </si>
  <si>
    <t>Book Value per Share</t>
  </si>
  <si>
    <t>Share Price</t>
  </si>
  <si>
    <t>Bowling</t>
  </si>
  <si>
    <t>Food &amp; Beverage</t>
  </si>
  <si>
    <t>Amusement</t>
  </si>
  <si>
    <t>Media</t>
  </si>
  <si>
    <t>Number of Centres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</si>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</sst>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164" fontId="9" fillId="0" borderId="0" xfId="0" applyNumberFormat="1" applyFont="1"/>
    <xf numFmtId="17" fontId="6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0</xdr:row>
      <xdr:rowOff>47626</xdr:rowOff>
    </xdr:from>
    <xdr:to>
      <xdr:col>5</xdr:col>
      <xdr:colOff>358748</xdr:colOff>
      <xdr:row>5</xdr:row>
      <xdr:rowOff>9525</xdr:rowOff>
    </xdr:to>
    <xdr:pic>
      <xdr:nvPicPr>
        <xdr:cNvPr id="3" name="Picture 2" descr="www.bowlerocorp.com/sites/bowlerocorp/files/bow...">
          <a:extLst>
            <a:ext uri="{FF2B5EF4-FFF2-40B4-BE49-F238E27FC236}">
              <a16:creationId xmlns:a16="http://schemas.microsoft.com/office/drawing/2014/main" id="{BE63607E-F1E4-4033-88FE-A068FCA5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6"/>
          <a:ext cx="768323" cy="771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0</xdr:rowOff>
    </xdr:from>
    <xdr:to>
      <xdr:col>12</xdr:col>
      <xdr:colOff>19050</xdr:colOff>
      <xdr:row>101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3FAA2F-4C52-4AD2-951D-8E108D7DC30C}"/>
            </a:ext>
          </a:extLst>
        </xdr:cNvPr>
        <xdr:cNvCxnSpPr/>
      </xdr:nvCxnSpPr>
      <xdr:spPr>
        <a:xfrm>
          <a:off x="8239125" y="0"/>
          <a:ext cx="0" cy="16478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bowlerocor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ix?doc=/Archives/edgar/data/1840572/000162828023003700/bowl-202301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816A-DDAF-4894-876F-15C71A458665}">
  <dimension ref="A2:N39"/>
  <sheetViews>
    <sheetView tabSelected="1" workbookViewId="0">
      <selection activeCell="K21" sqref="K21:K36"/>
    </sheetView>
  </sheetViews>
  <sheetFormatPr defaultRowHeight="12.75" x14ac:dyDescent="0.2"/>
  <cols>
    <col min="1" max="16384" width="9.140625" style="1"/>
  </cols>
  <sheetData>
    <row r="2" spans="2:14" x14ac:dyDescent="0.2">
      <c r="B2" s="2" t="s">
        <v>0</v>
      </c>
    </row>
    <row r="3" spans="2:14" x14ac:dyDescent="0.2">
      <c r="B3" s="2" t="s">
        <v>1</v>
      </c>
    </row>
    <row r="5" spans="2:14" x14ac:dyDescent="0.2">
      <c r="B5" s="43" t="s">
        <v>2</v>
      </c>
      <c r="C5" s="44"/>
      <c r="D5" s="45"/>
      <c r="G5" s="43" t="s">
        <v>27</v>
      </c>
      <c r="H5" s="44"/>
      <c r="I5" s="44"/>
      <c r="J5" s="44"/>
      <c r="K5" s="44"/>
      <c r="L5" s="44"/>
      <c r="M5" s="44"/>
      <c r="N5" s="45"/>
    </row>
    <row r="6" spans="2:14" x14ac:dyDescent="0.2">
      <c r="B6" s="3" t="s">
        <v>3</v>
      </c>
      <c r="C6" s="4">
        <v>16.05</v>
      </c>
      <c r="D6" s="16"/>
      <c r="G6" s="10"/>
      <c r="H6" s="11"/>
      <c r="I6" s="11"/>
      <c r="J6" s="11"/>
      <c r="K6" s="11"/>
      <c r="L6" s="11"/>
      <c r="M6" s="11"/>
      <c r="N6" s="12"/>
    </row>
    <row r="7" spans="2:14" x14ac:dyDescent="0.2">
      <c r="B7" s="3" t="s">
        <v>4</v>
      </c>
      <c r="C7" s="18">
        <v>165.83689699999999</v>
      </c>
      <c r="D7" s="16" t="str">
        <f>$C$30</f>
        <v>Q223</v>
      </c>
      <c r="G7" s="10"/>
      <c r="H7" s="11"/>
      <c r="I7" s="11"/>
      <c r="J7" s="11"/>
      <c r="K7" s="11"/>
      <c r="L7" s="11"/>
      <c r="M7" s="11"/>
      <c r="N7" s="12"/>
    </row>
    <row r="8" spans="2:14" x14ac:dyDescent="0.2">
      <c r="B8" s="3" t="s">
        <v>5</v>
      </c>
      <c r="C8" s="18">
        <f>C6*C7</f>
        <v>2661.6821968499999</v>
      </c>
      <c r="D8" s="16"/>
      <c r="G8" s="10"/>
      <c r="H8" s="11"/>
      <c r="I8" s="11"/>
      <c r="J8" s="11"/>
      <c r="K8" s="11"/>
      <c r="L8" s="11"/>
      <c r="M8" s="11"/>
      <c r="N8" s="12"/>
    </row>
    <row r="9" spans="2:14" x14ac:dyDescent="0.2">
      <c r="B9" s="3" t="s">
        <v>6</v>
      </c>
      <c r="C9" s="18">
        <f>'Financial Models'!L74</f>
        <v>91.570999999999998</v>
      </c>
      <c r="D9" s="16" t="str">
        <f t="shared" ref="D9:D11" si="0">$C$30</f>
        <v>Q223</v>
      </c>
      <c r="G9" s="10"/>
      <c r="H9" s="11"/>
      <c r="I9" s="11"/>
      <c r="J9" s="11"/>
      <c r="K9" s="11"/>
      <c r="L9" s="11"/>
      <c r="M9" s="11"/>
      <c r="N9" s="12"/>
    </row>
    <row r="10" spans="2:14" x14ac:dyDescent="0.2">
      <c r="B10" s="3" t="s">
        <v>7</v>
      </c>
      <c r="C10" s="18">
        <f>'Financial Models'!L75</f>
        <v>882.67700000000002</v>
      </c>
      <c r="D10" s="16" t="str">
        <f t="shared" si="0"/>
        <v>Q223</v>
      </c>
      <c r="G10" s="10"/>
      <c r="H10" s="11"/>
      <c r="I10" s="11"/>
      <c r="J10" s="11"/>
      <c r="K10" s="11"/>
      <c r="L10" s="11"/>
      <c r="M10" s="11"/>
      <c r="N10" s="12"/>
    </row>
    <row r="11" spans="2:14" x14ac:dyDescent="0.2">
      <c r="B11" s="3" t="s">
        <v>8</v>
      </c>
      <c r="C11" s="18">
        <f>C9-C10</f>
        <v>-791.10599999999999</v>
      </c>
      <c r="D11" s="16" t="str">
        <f t="shared" si="0"/>
        <v>Q223</v>
      </c>
      <c r="G11" s="10"/>
      <c r="H11" s="11"/>
      <c r="I11" s="11"/>
      <c r="J11" s="11"/>
      <c r="K11" s="11"/>
      <c r="L11" s="11"/>
      <c r="M11" s="11"/>
      <c r="N11" s="12"/>
    </row>
    <row r="12" spans="2:14" x14ac:dyDescent="0.2">
      <c r="B12" s="5" t="s">
        <v>9</v>
      </c>
      <c r="C12" s="19">
        <f>C8-C11</f>
        <v>3452.7881968499996</v>
      </c>
      <c r="D12" s="17"/>
      <c r="G12" s="10"/>
      <c r="H12" s="11"/>
      <c r="I12" s="11"/>
      <c r="J12" s="11"/>
      <c r="K12" s="11"/>
      <c r="L12" s="11"/>
      <c r="M12" s="11"/>
      <c r="N12" s="12"/>
    </row>
    <row r="13" spans="2:14" x14ac:dyDescent="0.2">
      <c r="G13" s="10"/>
      <c r="H13" s="11"/>
      <c r="I13" s="11"/>
      <c r="J13" s="11"/>
      <c r="K13" s="11"/>
      <c r="L13" s="11"/>
      <c r="M13" s="11"/>
      <c r="N13" s="12"/>
    </row>
    <row r="14" spans="2:14" x14ac:dyDescent="0.2">
      <c r="G14" s="10"/>
      <c r="H14" s="11"/>
      <c r="I14" s="11"/>
      <c r="J14" s="11"/>
      <c r="K14" s="11"/>
      <c r="L14" s="11"/>
      <c r="M14" s="11"/>
      <c r="N14" s="12"/>
    </row>
    <row r="15" spans="2:14" x14ac:dyDescent="0.2">
      <c r="B15" s="43" t="s">
        <v>13</v>
      </c>
      <c r="C15" s="44"/>
      <c r="D15" s="45"/>
      <c r="G15" s="10"/>
      <c r="H15" s="11"/>
      <c r="I15" s="11"/>
      <c r="J15" s="11"/>
      <c r="K15" s="11"/>
      <c r="L15" s="11"/>
      <c r="M15" s="11"/>
      <c r="N15" s="12"/>
    </row>
    <row r="16" spans="2:14" x14ac:dyDescent="0.2">
      <c r="B16" s="6" t="s">
        <v>11</v>
      </c>
      <c r="C16" s="39" t="s">
        <v>29</v>
      </c>
      <c r="D16" s="40"/>
      <c r="G16" s="10"/>
      <c r="H16" s="11"/>
      <c r="I16" s="11"/>
      <c r="J16" s="11"/>
      <c r="K16" s="11"/>
      <c r="L16" s="11"/>
      <c r="M16" s="11"/>
      <c r="N16" s="12"/>
    </row>
    <row r="17" spans="1:14" x14ac:dyDescent="0.2">
      <c r="A17" s="20" t="s">
        <v>31</v>
      </c>
      <c r="B17" s="6" t="s">
        <v>12</v>
      </c>
      <c r="C17" s="39" t="s">
        <v>30</v>
      </c>
      <c r="D17" s="40"/>
      <c r="G17" s="10"/>
      <c r="H17" s="11"/>
      <c r="I17" s="11"/>
      <c r="J17" s="11"/>
      <c r="K17" s="11"/>
      <c r="L17" s="11"/>
      <c r="M17" s="11"/>
      <c r="N17" s="12"/>
    </row>
    <row r="18" spans="1:14" x14ac:dyDescent="0.2">
      <c r="B18" s="6" t="s">
        <v>32</v>
      </c>
      <c r="C18" s="39" t="s">
        <v>33</v>
      </c>
      <c r="D18" s="40"/>
      <c r="G18" s="10"/>
      <c r="H18" s="11"/>
      <c r="I18" s="11"/>
      <c r="J18" s="11"/>
      <c r="K18" s="11"/>
      <c r="L18" s="11"/>
      <c r="M18" s="11"/>
      <c r="N18" s="12"/>
    </row>
    <row r="19" spans="1:14" x14ac:dyDescent="0.2">
      <c r="B19" s="7"/>
      <c r="C19" s="41"/>
      <c r="D19" s="42"/>
      <c r="G19" s="10"/>
      <c r="H19" s="11"/>
      <c r="I19" s="11"/>
      <c r="J19" s="11"/>
      <c r="K19" s="11"/>
      <c r="L19" s="11"/>
      <c r="M19" s="11"/>
      <c r="N19" s="12"/>
    </row>
    <row r="20" spans="1:14" x14ac:dyDescent="0.2">
      <c r="G20" s="10"/>
      <c r="H20" s="11"/>
      <c r="I20" s="11"/>
      <c r="J20" s="11"/>
      <c r="K20" s="11"/>
      <c r="L20" s="11"/>
      <c r="M20" s="11"/>
      <c r="N20" s="12"/>
    </row>
    <row r="21" spans="1:14" x14ac:dyDescent="0.2">
      <c r="G21" s="10"/>
      <c r="H21" s="11"/>
      <c r="I21" s="11"/>
      <c r="J21" s="11"/>
      <c r="K21" s="11"/>
      <c r="L21" s="11"/>
      <c r="M21" s="11"/>
      <c r="N21" s="12"/>
    </row>
    <row r="22" spans="1:14" x14ac:dyDescent="0.2">
      <c r="B22" s="43" t="s">
        <v>10</v>
      </c>
      <c r="C22" s="44"/>
      <c r="D22" s="45"/>
      <c r="G22" s="13"/>
      <c r="H22" s="14"/>
      <c r="I22" s="14"/>
      <c r="J22" s="14"/>
      <c r="K22" s="14"/>
      <c r="L22" s="14"/>
      <c r="M22" s="14"/>
      <c r="N22" s="15"/>
    </row>
    <row r="23" spans="1:14" x14ac:dyDescent="0.2">
      <c r="B23" s="8" t="s">
        <v>14</v>
      </c>
      <c r="C23" s="39" t="s">
        <v>28</v>
      </c>
      <c r="D23" s="40"/>
    </row>
    <row r="24" spans="1:14" x14ac:dyDescent="0.2">
      <c r="B24" s="8" t="s">
        <v>15</v>
      </c>
      <c r="C24" s="39">
        <v>1997</v>
      </c>
      <c r="D24" s="40"/>
    </row>
    <row r="25" spans="1:14" x14ac:dyDescent="0.2">
      <c r="B25" s="8" t="s">
        <v>16</v>
      </c>
      <c r="C25" s="39">
        <v>2021</v>
      </c>
      <c r="D25" s="40"/>
    </row>
    <row r="26" spans="1:14" x14ac:dyDescent="0.2">
      <c r="B26" s="8"/>
      <c r="C26" s="39"/>
      <c r="D26" s="40"/>
    </row>
    <row r="27" spans="1:14" x14ac:dyDescent="0.2">
      <c r="B27" s="8" t="s">
        <v>17</v>
      </c>
      <c r="C27" s="39"/>
      <c r="D27" s="40"/>
    </row>
    <row r="28" spans="1:14" x14ac:dyDescent="0.2">
      <c r="B28" s="8" t="s">
        <v>18</v>
      </c>
      <c r="C28" s="39">
        <f>'Financial Models'!L36</f>
        <v>327</v>
      </c>
      <c r="D28" s="40"/>
    </row>
    <row r="29" spans="1:14" x14ac:dyDescent="0.2">
      <c r="B29" s="8"/>
      <c r="C29" s="39"/>
      <c r="D29" s="40"/>
    </row>
    <row r="30" spans="1:14" x14ac:dyDescent="0.2">
      <c r="B30" s="8" t="s">
        <v>19</v>
      </c>
      <c r="C30" s="21" t="s">
        <v>57</v>
      </c>
      <c r="D30" s="38">
        <v>44958</v>
      </c>
    </row>
    <row r="31" spans="1:14" x14ac:dyDescent="0.2">
      <c r="B31" s="9" t="s">
        <v>20</v>
      </c>
      <c r="C31" s="46" t="s">
        <v>55</v>
      </c>
      <c r="D31" s="47"/>
    </row>
    <row r="34" spans="2:4" x14ac:dyDescent="0.2">
      <c r="B34" s="43" t="s">
        <v>21</v>
      </c>
      <c r="C34" s="44"/>
      <c r="D34" s="45"/>
    </row>
    <row r="35" spans="2:4" x14ac:dyDescent="0.2">
      <c r="B35" s="8" t="s">
        <v>22</v>
      </c>
      <c r="C35" s="48">
        <f>C6/'Financial Models'!L72</f>
        <v>16.995954373839119</v>
      </c>
      <c r="D35" s="49"/>
    </row>
    <row r="36" spans="2:4" x14ac:dyDescent="0.2">
      <c r="B36" s="8" t="s">
        <v>23</v>
      </c>
      <c r="C36" s="39"/>
      <c r="D36" s="40"/>
    </row>
    <row r="37" spans="2:4" x14ac:dyDescent="0.2">
      <c r="B37" s="8" t="s">
        <v>24</v>
      </c>
      <c r="C37" s="39"/>
      <c r="D37" s="40"/>
    </row>
    <row r="38" spans="2:4" x14ac:dyDescent="0.2">
      <c r="B38" s="8" t="s">
        <v>25</v>
      </c>
      <c r="C38" s="39"/>
      <c r="D38" s="40"/>
    </row>
    <row r="39" spans="2:4" x14ac:dyDescent="0.2">
      <c r="B39" s="9" t="s">
        <v>26</v>
      </c>
      <c r="C39" s="41"/>
      <c r="D39" s="42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C39:D39"/>
    <mergeCell ref="G5:N5"/>
    <mergeCell ref="C28:D28"/>
    <mergeCell ref="C29:D29"/>
    <mergeCell ref="C31:D31"/>
    <mergeCell ref="B34:D34"/>
    <mergeCell ref="C35:D35"/>
    <mergeCell ref="B22:D22"/>
    <mergeCell ref="C24:D24"/>
    <mergeCell ref="C23:D23"/>
    <mergeCell ref="C25:D25"/>
    <mergeCell ref="C26:D26"/>
    <mergeCell ref="C27:D27"/>
  </mergeCells>
  <hyperlinks>
    <hyperlink ref="C31:D31" r:id="rId1" display="Link" xr:uid="{21B9D159-E60F-4CDF-8511-BDBA3019D342}"/>
  </hyperlinks>
  <pageMargins left="0.7" right="0.7" top="0.75" bottom="0.75" header="0.3" footer="0.3"/>
  <pageSetup paperSize="125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CC38-5A98-4E0C-94E2-A5A6CC8DB648}">
  <dimension ref="B1:AC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7" sqref="O27"/>
    </sheetView>
  </sheetViews>
  <sheetFormatPr defaultRowHeight="12.75" x14ac:dyDescent="0.2"/>
  <cols>
    <col min="1" max="1" width="4.28515625" style="1" customWidth="1"/>
    <col min="2" max="2" width="27.5703125" style="1" bestFit="1" customWidth="1"/>
    <col min="3" max="16384" width="9.140625" style="1"/>
  </cols>
  <sheetData>
    <row r="1" spans="2:29" s="22" customFormat="1" x14ac:dyDescent="0.2">
      <c r="C1" s="22" t="s">
        <v>34</v>
      </c>
      <c r="D1" s="22" t="s">
        <v>35</v>
      </c>
      <c r="E1" s="22" t="s">
        <v>36</v>
      </c>
      <c r="F1" s="22" t="s">
        <v>37</v>
      </c>
      <c r="G1" s="22" t="s">
        <v>38</v>
      </c>
      <c r="H1" s="22" t="s">
        <v>39</v>
      </c>
      <c r="I1" s="22" t="s">
        <v>40</v>
      </c>
      <c r="J1" s="22" t="s">
        <v>41</v>
      </c>
      <c r="K1" s="22" t="s">
        <v>56</v>
      </c>
      <c r="L1" s="23" t="s">
        <v>57</v>
      </c>
      <c r="M1" s="22" t="s">
        <v>116</v>
      </c>
      <c r="N1" s="22" t="s">
        <v>117</v>
      </c>
      <c r="Q1" s="22" t="s">
        <v>42</v>
      </c>
      <c r="R1" s="22" t="s">
        <v>43</v>
      </c>
      <c r="S1" s="22" t="s">
        <v>44</v>
      </c>
      <c r="T1" s="22" t="s">
        <v>45</v>
      </c>
      <c r="U1" s="22" t="s">
        <v>46</v>
      </c>
      <c r="V1" s="22" t="s">
        <v>47</v>
      </c>
      <c r="W1" s="22" t="s">
        <v>48</v>
      </c>
      <c r="X1" s="22" t="s">
        <v>49</v>
      </c>
      <c r="Y1" s="22" t="s">
        <v>50</v>
      </c>
      <c r="Z1" s="22" t="s">
        <v>51</v>
      </c>
      <c r="AA1" s="22" t="s">
        <v>52</v>
      </c>
      <c r="AB1" s="22" t="s">
        <v>53</v>
      </c>
      <c r="AC1" s="22" t="s">
        <v>54</v>
      </c>
    </row>
    <row r="2" spans="2:29" s="25" customFormat="1" x14ac:dyDescent="0.2">
      <c r="B2" s="24"/>
      <c r="G2" s="26">
        <v>44465</v>
      </c>
      <c r="H2" s="26">
        <v>44556</v>
      </c>
      <c r="J2" s="26">
        <v>44745</v>
      </c>
      <c r="K2" s="26">
        <v>44836</v>
      </c>
      <c r="L2" s="26">
        <v>44927</v>
      </c>
    </row>
    <row r="3" spans="2:29" s="25" customFormat="1" x14ac:dyDescent="0.2">
      <c r="B3" s="24"/>
      <c r="L3" s="37">
        <v>44958</v>
      </c>
    </row>
    <row r="4" spans="2:29" s="35" customFormat="1" x14ac:dyDescent="0.2">
      <c r="B4" s="34" t="s">
        <v>111</v>
      </c>
      <c r="G4" s="36">
        <v>92.61</v>
      </c>
      <c r="H4" s="36">
        <v>103.532</v>
      </c>
      <c r="K4" s="36">
        <v>115.327</v>
      </c>
      <c r="L4" s="36">
        <v>131.42599999999999</v>
      </c>
    </row>
    <row r="5" spans="2:29" s="35" customFormat="1" x14ac:dyDescent="0.2">
      <c r="B5" s="34" t="s">
        <v>112</v>
      </c>
      <c r="G5" s="36">
        <v>60.244999999999997</v>
      </c>
      <c r="H5" s="36">
        <v>72.774000000000001</v>
      </c>
      <c r="K5" s="36">
        <v>79.022999999999996</v>
      </c>
      <c r="L5" s="36">
        <v>100.657</v>
      </c>
    </row>
    <row r="6" spans="2:29" s="35" customFormat="1" x14ac:dyDescent="0.2">
      <c r="B6" s="34" t="s">
        <v>113</v>
      </c>
      <c r="G6" s="36">
        <v>23.710999999999999</v>
      </c>
      <c r="H6" s="36">
        <v>26.474</v>
      </c>
      <c r="K6" s="36">
        <v>30.809000000000001</v>
      </c>
      <c r="L6" s="36">
        <v>36.747999999999998</v>
      </c>
    </row>
    <row r="7" spans="2:29" s="35" customFormat="1" x14ac:dyDescent="0.2">
      <c r="B7" s="34" t="s">
        <v>114</v>
      </c>
      <c r="G7" s="36">
        <v>4.4119999999999999</v>
      </c>
      <c r="H7" s="36">
        <v>2.41</v>
      </c>
      <c r="K7" s="36">
        <v>5.101</v>
      </c>
      <c r="L7" s="36">
        <v>4.5540000000000003</v>
      </c>
    </row>
    <row r="8" spans="2:29" s="29" customFormat="1" x14ac:dyDescent="0.2">
      <c r="B8" s="29" t="s">
        <v>58</v>
      </c>
      <c r="C8" s="29">
        <f t="shared" ref="C8:K8" si="0">SUM(C4:C7)</f>
        <v>0</v>
      </c>
      <c r="D8" s="29">
        <f t="shared" si="0"/>
        <v>0</v>
      </c>
      <c r="E8" s="29">
        <f t="shared" si="0"/>
        <v>0</v>
      </c>
      <c r="F8" s="29">
        <f t="shared" si="0"/>
        <v>0</v>
      </c>
      <c r="G8" s="29">
        <f t="shared" si="0"/>
        <v>180.97799999999998</v>
      </c>
      <c r="H8" s="29">
        <f t="shared" si="0"/>
        <v>205.18999999999997</v>
      </c>
      <c r="I8" s="29">
        <f t="shared" si="0"/>
        <v>0</v>
      </c>
      <c r="J8" s="29">
        <f t="shared" si="0"/>
        <v>0</v>
      </c>
      <c r="K8" s="29">
        <f t="shared" si="0"/>
        <v>230.26</v>
      </c>
      <c r="L8" s="29">
        <f>SUM(L4:L7)</f>
        <v>273.38499999999993</v>
      </c>
    </row>
    <row r="9" spans="2:29" s="30" customFormat="1" x14ac:dyDescent="0.2">
      <c r="B9" s="30" t="s">
        <v>59</v>
      </c>
      <c r="G9" s="30">
        <v>126.86799999999999</v>
      </c>
      <c r="H9" s="30">
        <v>141.38300000000001</v>
      </c>
      <c r="K9" s="30">
        <v>165.202</v>
      </c>
      <c r="L9" s="30">
        <v>179.70599999999999</v>
      </c>
    </row>
    <row r="10" spans="2:29" s="29" customFormat="1" x14ac:dyDescent="0.2">
      <c r="B10" s="29" t="s">
        <v>60</v>
      </c>
      <c r="C10" s="29">
        <f t="shared" ref="C10:K10" si="1">C8-C9</f>
        <v>0</v>
      </c>
      <c r="D10" s="29">
        <f t="shared" si="1"/>
        <v>0</v>
      </c>
      <c r="E10" s="29">
        <f t="shared" si="1"/>
        <v>0</v>
      </c>
      <c r="F10" s="29">
        <f t="shared" si="1"/>
        <v>0</v>
      </c>
      <c r="G10" s="29">
        <f t="shared" si="1"/>
        <v>54.109999999999985</v>
      </c>
      <c r="H10" s="29">
        <f t="shared" si="1"/>
        <v>63.80699999999996</v>
      </c>
      <c r="I10" s="29">
        <f t="shared" si="1"/>
        <v>0</v>
      </c>
      <c r="J10" s="29">
        <f t="shared" si="1"/>
        <v>0</v>
      </c>
      <c r="K10" s="29">
        <f t="shared" si="1"/>
        <v>65.057999999999993</v>
      </c>
      <c r="L10" s="29">
        <f>L8-L9</f>
        <v>93.678999999999945</v>
      </c>
    </row>
    <row r="11" spans="2:29" x14ac:dyDescent="0.2">
      <c r="B11" s="1" t="s">
        <v>61</v>
      </c>
      <c r="G11" s="30">
        <v>21.414999999999999</v>
      </c>
      <c r="H11" s="30">
        <v>93.283000000000001</v>
      </c>
      <c r="K11" s="30">
        <v>32.494</v>
      </c>
      <c r="L11" s="30">
        <v>34.451999999999998</v>
      </c>
    </row>
    <row r="12" spans="2:29" x14ac:dyDescent="0.2">
      <c r="B12" s="1" t="s">
        <v>62</v>
      </c>
      <c r="G12" s="30">
        <v>0</v>
      </c>
      <c r="H12" s="30">
        <v>0</v>
      </c>
      <c r="K12" s="30">
        <v>8.4000000000000005E-2</v>
      </c>
      <c r="L12" s="30">
        <v>0</v>
      </c>
    </row>
    <row r="13" spans="2:29" x14ac:dyDescent="0.2">
      <c r="B13" s="1" t="s">
        <v>63</v>
      </c>
      <c r="G13" s="30">
        <v>-0.03</v>
      </c>
      <c r="H13" s="30">
        <v>-0.124</v>
      </c>
      <c r="K13" s="30">
        <v>-0.155</v>
      </c>
      <c r="L13" s="30">
        <v>-1.823</v>
      </c>
    </row>
    <row r="14" spans="2:29" x14ac:dyDescent="0.2">
      <c r="B14" s="1" t="s">
        <v>64</v>
      </c>
      <c r="G14" s="30">
        <v>0.47699999999999998</v>
      </c>
      <c r="H14" s="30">
        <v>3.3319999999999999</v>
      </c>
      <c r="K14" s="30">
        <v>1.3620000000000001</v>
      </c>
      <c r="L14" s="30">
        <v>0.61399999999999999</v>
      </c>
    </row>
    <row r="15" spans="2:29" s="2" customFormat="1" x14ac:dyDescent="0.2">
      <c r="B15" s="2" t="s">
        <v>65</v>
      </c>
      <c r="C15" s="29">
        <f t="shared" ref="C15:K15" si="2">C10-SUM(C11:C14)</f>
        <v>0</v>
      </c>
      <c r="D15" s="29">
        <f t="shared" si="2"/>
        <v>0</v>
      </c>
      <c r="E15" s="29">
        <f t="shared" si="2"/>
        <v>0</v>
      </c>
      <c r="F15" s="29">
        <f t="shared" si="2"/>
        <v>0</v>
      </c>
      <c r="G15" s="29">
        <f t="shared" si="2"/>
        <v>32.24799999999999</v>
      </c>
      <c r="H15" s="29">
        <f t="shared" si="2"/>
        <v>-32.68400000000004</v>
      </c>
      <c r="I15" s="29">
        <f t="shared" si="2"/>
        <v>0</v>
      </c>
      <c r="J15" s="29">
        <f t="shared" si="2"/>
        <v>0</v>
      </c>
      <c r="K15" s="29">
        <f t="shared" si="2"/>
        <v>31.272999999999989</v>
      </c>
      <c r="L15" s="29">
        <f>L10-SUM(L11:L14)</f>
        <v>60.43599999999995</v>
      </c>
    </row>
    <row r="16" spans="2:29" x14ac:dyDescent="0.2">
      <c r="B16" s="1" t="s">
        <v>66</v>
      </c>
      <c r="G16" s="30">
        <v>22.928000000000001</v>
      </c>
      <c r="H16" s="30">
        <v>23.88</v>
      </c>
      <c r="K16" s="30">
        <v>23.57</v>
      </c>
      <c r="L16" s="30">
        <v>27.379000000000001</v>
      </c>
    </row>
    <row r="17" spans="2:12" x14ac:dyDescent="0.2">
      <c r="B17" s="1" t="s">
        <v>67</v>
      </c>
      <c r="G17" s="30">
        <v>0</v>
      </c>
      <c r="H17" s="30">
        <v>-22.542000000000002</v>
      </c>
      <c r="K17" s="30">
        <v>40.76</v>
      </c>
      <c r="L17" s="30">
        <v>30.776</v>
      </c>
    </row>
    <row r="18" spans="2:12" x14ac:dyDescent="0.2">
      <c r="B18" s="1" t="s">
        <v>68</v>
      </c>
      <c r="G18" s="30">
        <v>0</v>
      </c>
      <c r="H18" s="30">
        <v>7.0000000000000007E-2</v>
      </c>
      <c r="K18" s="30">
        <v>0</v>
      </c>
      <c r="L18" s="30">
        <v>0</v>
      </c>
    </row>
    <row r="19" spans="2:12" x14ac:dyDescent="0.2">
      <c r="B19" s="1" t="s">
        <v>69</v>
      </c>
      <c r="G19" s="30">
        <v>0</v>
      </c>
      <c r="H19" s="30">
        <v>0</v>
      </c>
      <c r="K19" s="30">
        <v>4.8000000000000001E-2</v>
      </c>
      <c r="L19" s="30">
        <v>-0.67800000000000005</v>
      </c>
    </row>
    <row r="20" spans="2:12" x14ac:dyDescent="0.2">
      <c r="B20" s="1" t="s">
        <v>70</v>
      </c>
      <c r="G20" s="30">
        <f>SUM(G16:G19)</f>
        <v>22.928000000000001</v>
      </c>
      <c r="H20" s="30">
        <f>SUM(H16:H19)</f>
        <v>1.4079999999999975</v>
      </c>
      <c r="K20" s="30">
        <f>SUM(K16:K19)</f>
        <v>64.378</v>
      </c>
      <c r="L20" s="30">
        <f>SUM(L16:L19)</f>
        <v>57.477000000000004</v>
      </c>
    </row>
    <row r="21" spans="2:12" x14ac:dyDescent="0.2">
      <c r="B21" s="1" t="s">
        <v>71</v>
      </c>
      <c r="C21" s="30">
        <f t="shared" ref="C21:K21" si="3">C15-C20</f>
        <v>0</v>
      </c>
      <c r="D21" s="30">
        <f t="shared" si="3"/>
        <v>0</v>
      </c>
      <c r="E21" s="30">
        <f t="shared" si="3"/>
        <v>0</v>
      </c>
      <c r="F21" s="30">
        <f t="shared" si="3"/>
        <v>0</v>
      </c>
      <c r="G21" s="30">
        <f t="shared" si="3"/>
        <v>9.3199999999999896</v>
      </c>
      <c r="H21" s="30">
        <f t="shared" si="3"/>
        <v>-34.092000000000034</v>
      </c>
      <c r="I21" s="30">
        <f t="shared" si="3"/>
        <v>0</v>
      </c>
      <c r="J21" s="30">
        <f t="shared" si="3"/>
        <v>0</v>
      </c>
      <c r="K21" s="30">
        <f t="shared" si="3"/>
        <v>-33.105000000000011</v>
      </c>
      <c r="L21" s="30">
        <f>L15-L20</f>
        <v>2.9589999999999463</v>
      </c>
    </row>
    <row r="22" spans="2:12" x14ac:dyDescent="0.2">
      <c r="B22" s="1" t="s">
        <v>72</v>
      </c>
      <c r="G22" s="30">
        <v>-6.2439999999999998</v>
      </c>
      <c r="H22" s="30">
        <v>0.36199999999999999</v>
      </c>
      <c r="K22" s="30">
        <v>0.42899999999999999</v>
      </c>
      <c r="L22" s="30">
        <v>1.524</v>
      </c>
    </row>
    <row r="23" spans="2:12" s="2" customFormat="1" x14ac:dyDescent="0.2">
      <c r="B23" s="2" t="s">
        <v>73</v>
      </c>
      <c r="C23" s="29">
        <f t="shared" ref="C23:K23" si="4">C21-C22</f>
        <v>0</v>
      </c>
      <c r="D23" s="29">
        <f t="shared" si="4"/>
        <v>0</v>
      </c>
      <c r="E23" s="29">
        <f t="shared" si="4"/>
        <v>0</v>
      </c>
      <c r="F23" s="29">
        <f t="shared" si="4"/>
        <v>0</v>
      </c>
      <c r="G23" s="29">
        <f t="shared" si="4"/>
        <v>15.563999999999989</v>
      </c>
      <c r="H23" s="29">
        <f t="shared" si="4"/>
        <v>-34.454000000000036</v>
      </c>
      <c r="I23" s="29">
        <f t="shared" si="4"/>
        <v>0</v>
      </c>
      <c r="J23" s="29">
        <f t="shared" si="4"/>
        <v>0</v>
      </c>
      <c r="K23" s="29">
        <f t="shared" si="4"/>
        <v>-33.534000000000013</v>
      </c>
      <c r="L23" s="29">
        <f>L21-L22</f>
        <v>1.4349999999999463</v>
      </c>
    </row>
    <row r="24" spans="2:12" s="33" customFormat="1" x14ac:dyDescent="0.2">
      <c r="B24" s="33" t="s">
        <v>74</v>
      </c>
      <c r="G24" s="33">
        <f>G23/G25</f>
        <v>0.10598690643587028</v>
      </c>
      <c r="H24" s="33">
        <f>H23/H25</f>
        <v>-0.23161588725529672</v>
      </c>
      <c r="K24" s="33">
        <f>K23/K25</f>
        <v>-0.20591374525338091</v>
      </c>
      <c r="L24" s="33">
        <f>L23/L25</f>
        <v>8.8319569523398513E-3</v>
      </c>
    </row>
    <row r="25" spans="2:12" s="30" customFormat="1" x14ac:dyDescent="0.2">
      <c r="B25" s="30" t="s">
        <v>4</v>
      </c>
      <c r="G25" s="30">
        <v>146.84832800000001</v>
      </c>
      <c r="H25" s="30">
        <v>148.754908</v>
      </c>
      <c r="K25" s="30">
        <v>162.85459700000001</v>
      </c>
      <c r="L25" s="30">
        <v>162.47814700000001</v>
      </c>
    </row>
    <row r="27" spans="2:12" s="2" customFormat="1" x14ac:dyDescent="0.2">
      <c r="B27" s="2" t="s">
        <v>75</v>
      </c>
      <c r="K27" s="31">
        <f>K10/G10-1</f>
        <v>0.20232858990944402</v>
      </c>
      <c r="L27" s="31">
        <f>L10/H10-1</f>
        <v>0.46816180042942013</v>
      </c>
    </row>
    <row r="28" spans="2:12" x14ac:dyDescent="0.2">
      <c r="B28" s="1" t="s">
        <v>76</v>
      </c>
      <c r="H28" s="32">
        <f>H8/G8-1</f>
        <v>0.13378421686613828</v>
      </c>
      <c r="L28" s="32">
        <f>L8/K8-1</f>
        <v>0.1872882828107354</v>
      </c>
    </row>
    <row r="30" spans="2:12" s="32" customFormat="1" x14ac:dyDescent="0.2">
      <c r="B30" s="32" t="s">
        <v>77</v>
      </c>
      <c r="G30" s="32">
        <f t="shared" ref="G30:H30" si="5">G10/G8</f>
        <v>0.29898661715788655</v>
      </c>
      <c r="H30" s="32">
        <f>H10/H8</f>
        <v>0.31096544665919379</v>
      </c>
      <c r="K30" s="32">
        <f t="shared" ref="K30:L30" si="6">K10/K8</f>
        <v>0.28254147485451225</v>
      </c>
      <c r="L30" s="32">
        <f>L10/L8</f>
        <v>0.34266327706348176</v>
      </c>
    </row>
    <row r="31" spans="2:12" s="32" customFormat="1" x14ac:dyDescent="0.2">
      <c r="B31" s="32" t="s">
        <v>78</v>
      </c>
      <c r="G31" s="32">
        <f t="shared" ref="G31:H31" si="7">G15/G8</f>
        <v>0.17818740399385558</v>
      </c>
      <c r="H31" s="32">
        <f>H15/H8</f>
        <v>-0.15928651493737533</v>
      </c>
      <c r="K31" s="32">
        <f t="shared" ref="K31:L31" si="8">K15/K8</f>
        <v>0.1358160340484669</v>
      </c>
      <c r="L31" s="32">
        <f>L15/L8</f>
        <v>0.22106553029610243</v>
      </c>
    </row>
    <row r="32" spans="2:12" s="32" customFormat="1" x14ac:dyDescent="0.2">
      <c r="B32" s="32" t="s">
        <v>80</v>
      </c>
      <c r="G32" s="32">
        <f t="shared" ref="G32:H32" si="9">G23/G8</f>
        <v>8.5999403242383005E-2</v>
      </c>
      <c r="H32" s="32">
        <f>H23/H8</f>
        <v>-0.16791266630927454</v>
      </c>
      <c r="K32" s="32">
        <f t="shared" ref="K32:L32" si="10">K23/K8</f>
        <v>-0.14563536871362814</v>
      </c>
      <c r="L32" s="32">
        <f>L23/L8</f>
        <v>5.2490078094992289E-3</v>
      </c>
    </row>
    <row r="33" spans="2:12" s="32" customFormat="1" x14ac:dyDescent="0.2">
      <c r="B33" s="32" t="s">
        <v>79</v>
      </c>
      <c r="G33" s="32">
        <f t="shared" ref="G33:H33" si="11">G22/G21</f>
        <v>-0.66995708154506506</v>
      </c>
      <c r="H33" s="32">
        <f>H22/H21</f>
        <v>-1.0618326880206488E-2</v>
      </c>
      <c r="K33" s="32">
        <f t="shared" ref="K33:L33" si="12">K22/K21</f>
        <v>-1.2958767557770725E-2</v>
      </c>
      <c r="L33" s="32">
        <f>L22/L21</f>
        <v>0.51503886448125302</v>
      </c>
    </row>
    <row r="35" spans="2:12" x14ac:dyDescent="0.2">
      <c r="B35" s="28" t="s">
        <v>81</v>
      </c>
    </row>
    <row r="36" spans="2:12" x14ac:dyDescent="0.2">
      <c r="B36" s="1" t="s">
        <v>115</v>
      </c>
      <c r="G36" s="1">
        <v>286</v>
      </c>
      <c r="K36" s="1">
        <v>315</v>
      </c>
      <c r="L36" s="1">
        <v>327</v>
      </c>
    </row>
    <row r="40" spans="2:12" x14ac:dyDescent="0.2">
      <c r="B40" s="27" t="s">
        <v>82</v>
      </c>
    </row>
    <row r="41" spans="2:12" s="2" customFormat="1" x14ac:dyDescent="0.2">
      <c r="B41" s="2" t="s">
        <v>6</v>
      </c>
      <c r="J41" s="29">
        <v>132.23599999999999</v>
      </c>
      <c r="K41" s="29">
        <v>110.361</v>
      </c>
      <c r="L41" s="29">
        <v>79.445999999999998</v>
      </c>
    </row>
    <row r="42" spans="2:12" x14ac:dyDescent="0.2">
      <c r="B42" s="1" t="s">
        <v>83</v>
      </c>
      <c r="J42" s="30">
        <v>0</v>
      </c>
      <c r="K42" s="30">
        <v>0</v>
      </c>
      <c r="L42" s="30">
        <v>10.363</v>
      </c>
    </row>
    <row r="43" spans="2:12" s="2" customFormat="1" x14ac:dyDescent="0.2">
      <c r="B43" s="2" t="s">
        <v>84</v>
      </c>
      <c r="J43" s="29">
        <v>0</v>
      </c>
      <c r="K43" s="29">
        <v>2.9350000000000001</v>
      </c>
      <c r="L43" s="29">
        <v>12.125</v>
      </c>
    </row>
    <row r="44" spans="2:12" x14ac:dyDescent="0.2">
      <c r="B44" s="1" t="s">
        <v>85</v>
      </c>
      <c r="J44" s="30">
        <v>5.2270000000000003</v>
      </c>
      <c r="K44" s="30">
        <v>5.431</v>
      </c>
      <c r="L44" s="30">
        <v>8.8070000000000004</v>
      </c>
    </row>
    <row r="45" spans="2:12" s="2" customFormat="1" x14ac:dyDescent="0.2">
      <c r="B45" s="2" t="s">
        <v>86</v>
      </c>
      <c r="J45" s="29">
        <v>10.31</v>
      </c>
      <c r="K45" s="30">
        <v>11.147</v>
      </c>
      <c r="L45" s="29">
        <v>11.407</v>
      </c>
    </row>
    <row r="46" spans="2:12" x14ac:dyDescent="0.2">
      <c r="B46" s="1" t="s">
        <v>87</v>
      </c>
      <c r="J46" s="30">
        <v>12.731999999999999</v>
      </c>
      <c r="K46" s="29">
        <v>14.488</v>
      </c>
      <c r="L46" s="30">
        <v>14.206</v>
      </c>
    </row>
    <row r="47" spans="2:12" x14ac:dyDescent="0.2">
      <c r="B47" s="1" t="s">
        <v>88</v>
      </c>
      <c r="J47" s="30">
        <v>8.7889999999999997</v>
      </c>
      <c r="K47" s="30">
        <v>8.7189999999999994</v>
      </c>
      <c r="L47" s="30">
        <v>2.552</v>
      </c>
    </row>
    <row r="48" spans="2:12" x14ac:dyDescent="0.2">
      <c r="B48" s="1" t="s">
        <v>89</v>
      </c>
      <c r="C48" s="1">
        <f>SUM(C41:C47)</f>
        <v>0</v>
      </c>
      <c r="D48" s="1">
        <f t="shared" ref="D48:K48" si="13">SUM(D41:D47)</f>
        <v>0</v>
      </c>
      <c r="E48" s="1">
        <f t="shared" si="13"/>
        <v>0</v>
      </c>
      <c r="F48" s="1">
        <f t="shared" si="13"/>
        <v>0</v>
      </c>
      <c r="G48" s="1">
        <f t="shared" si="13"/>
        <v>0</v>
      </c>
      <c r="H48" s="1">
        <f t="shared" si="13"/>
        <v>0</v>
      </c>
      <c r="I48" s="1">
        <f t="shared" si="13"/>
        <v>0</v>
      </c>
      <c r="J48" s="30">
        <f t="shared" si="13"/>
        <v>169.29399999999998</v>
      </c>
      <c r="K48" s="30">
        <f t="shared" si="13"/>
        <v>153.08099999999999</v>
      </c>
      <c r="L48" s="30">
        <f t="shared" ref="L48" si="14">SUM(L41:L47)</f>
        <v>138.90599999999998</v>
      </c>
    </row>
    <row r="49" spans="2:12" x14ac:dyDescent="0.2">
      <c r="B49" s="1" t="s">
        <v>90</v>
      </c>
      <c r="J49" s="30">
        <v>534.721</v>
      </c>
      <c r="K49" s="30">
        <v>577.26</v>
      </c>
      <c r="L49" s="30">
        <v>652.84699999999998</v>
      </c>
    </row>
    <row r="50" spans="2:12" x14ac:dyDescent="0.2">
      <c r="B50" s="1" t="s">
        <v>91</v>
      </c>
      <c r="J50" s="30">
        <v>11.423</v>
      </c>
      <c r="K50" s="30">
        <v>12.393000000000001</v>
      </c>
      <c r="L50" s="30">
        <v>14.901</v>
      </c>
    </row>
    <row r="51" spans="2:12" x14ac:dyDescent="0.2">
      <c r="B51" s="1" t="s">
        <v>90</v>
      </c>
      <c r="J51" s="30">
        <v>262.70299999999997</v>
      </c>
      <c r="K51" s="30">
        <v>261.61799999999999</v>
      </c>
      <c r="L51" s="30">
        <v>254.583</v>
      </c>
    </row>
    <row r="52" spans="2:12" x14ac:dyDescent="0.2">
      <c r="B52" s="1" t="s">
        <v>92</v>
      </c>
      <c r="J52" s="30">
        <f>92.593+742.669</f>
        <v>835.26199999999994</v>
      </c>
      <c r="K52" s="30">
        <f>92.119+743.655</f>
        <v>835.774</v>
      </c>
      <c r="L52" s="30">
        <f>92.795+748.594</f>
        <v>841.38900000000001</v>
      </c>
    </row>
    <row r="53" spans="2:12" x14ac:dyDescent="0.2">
      <c r="B53" s="1" t="s">
        <v>93</v>
      </c>
      <c r="J53" s="30">
        <v>41.021999999999998</v>
      </c>
      <c r="K53" s="30">
        <v>39.341999999999999</v>
      </c>
      <c r="L53" s="30">
        <v>38.643000000000001</v>
      </c>
    </row>
    <row r="54" spans="2:12" x14ac:dyDescent="0.2">
      <c r="B54" s="1" t="s">
        <v>94</v>
      </c>
      <c r="C54" s="1">
        <f t="shared" ref="C54:K54" si="15">SUM(C48:C53)</f>
        <v>0</v>
      </c>
      <c r="D54" s="1">
        <f t="shared" si="15"/>
        <v>0</v>
      </c>
      <c r="E54" s="1">
        <f t="shared" si="15"/>
        <v>0</v>
      </c>
      <c r="F54" s="1">
        <f t="shared" si="15"/>
        <v>0</v>
      </c>
      <c r="G54" s="1">
        <f t="shared" si="15"/>
        <v>0</v>
      </c>
      <c r="H54" s="1">
        <f t="shared" si="15"/>
        <v>0</v>
      </c>
      <c r="I54" s="1">
        <f t="shared" si="15"/>
        <v>0</v>
      </c>
      <c r="J54" s="30">
        <f t="shared" si="15"/>
        <v>1854.4249999999997</v>
      </c>
      <c r="K54" s="30">
        <f t="shared" si="15"/>
        <v>1879.4680000000003</v>
      </c>
      <c r="L54" s="30">
        <f>SUM(L48:L53)</f>
        <v>1941.2689999999998</v>
      </c>
    </row>
    <row r="56" spans="2:12" x14ac:dyDescent="0.2">
      <c r="B56" s="1" t="s">
        <v>95</v>
      </c>
      <c r="J56" s="30">
        <v>38.216999999999999</v>
      </c>
      <c r="K56" s="30">
        <v>40.265000000000001</v>
      </c>
      <c r="L56" s="30">
        <v>44.59</v>
      </c>
    </row>
    <row r="57" spans="2:12" x14ac:dyDescent="0.2">
      <c r="B57" s="1" t="s">
        <v>96</v>
      </c>
      <c r="J57" s="30">
        <v>62.853999999999999</v>
      </c>
      <c r="K57" s="30">
        <v>61.731999999999999</v>
      </c>
      <c r="L57" s="30">
        <v>76.611999999999995</v>
      </c>
    </row>
    <row r="58" spans="2:12" s="2" customFormat="1" x14ac:dyDescent="0.2">
      <c r="B58" s="2" t="s">
        <v>97</v>
      </c>
      <c r="J58" s="29">
        <v>4.9660000000000002</v>
      </c>
      <c r="K58" s="29">
        <v>5.8339999999999996</v>
      </c>
      <c r="L58" s="29">
        <v>5.8209999999999997</v>
      </c>
    </row>
    <row r="59" spans="2:12" x14ac:dyDescent="0.2">
      <c r="B59" s="1" t="s">
        <v>103</v>
      </c>
      <c r="J59" s="30">
        <v>13.122999999999999</v>
      </c>
      <c r="K59" s="30">
        <v>13.906000000000001</v>
      </c>
      <c r="L59" s="30">
        <v>11.994999999999999</v>
      </c>
    </row>
    <row r="60" spans="2:12" x14ac:dyDescent="0.2">
      <c r="B60" s="1" t="s">
        <v>104</v>
      </c>
      <c r="C60" s="1">
        <f>SUM(C56:C59)</f>
        <v>0</v>
      </c>
      <c r="D60" s="1">
        <f t="shared" ref="D60:L60" si="16">SUM(D56:D59)</f>
        <v>0</v>
      </c>
      <c r="E60" s="1">
        <f t="shared" si="16"/>
        <v>0</v>
      </c>
      <c r="F60" s="1">
        <f t="shared" si="16"/>
        <v>0</v>
      </c>
      <c r="G60" s="1">
        <f t="shared" si="16"/>
        <v>0</v>
      </c>
      <c r="H60" s="1">
        <f t="shared" si="16"/>
        <v>0</v>
      </c>
      <c r="I60" s="1">
        <f t="shared" si="16"/>
        <v>0</v>
      </c>
      <c r="J60" s="30">
        <f t="shared" si="16"/>
        <v>119.16</v>
      </c>
      <c r="K60" s="30">
        <f t="shared" si="16"/>
        <v>121.73700000000001</v>
      </c>
      <c r="L60" s="30">
        <f t="shared" si="16"/>
        <v>139.018</v>
      </c>
    </row>
    <row r="61" spans="2:12" s="2" customFormat="1" x14ac:dyDescent="0.2">
      <c r="B61" s="2" t="s">
        <v>105</v>
      </c>
      <c r="J61" s="29">
        <v>865.09</v>
      </c>
      <c r="K61" s="29">
        <v>878.24300000000005</v>
      </c>
      <c r="L61" s="29">
        <v>876.85599999999999</v>
      </c>
    </row>
    <row r="62" spans="2:12" x14ac:dyDescent="0.2">
      <c r="B62" s="1" t="s">
        <v>98</v>
      </c>
      <c r="J62" s="30">
        <v>397.60300000000001</v>
      </c>
      <c r="K62" s="30">
        <v>398.22300000000001</v>
      </c>
      <c r="L62" s="30">
        <v>394.83600000000001</v>
      </c>
    </row>
    <row r="63" spans="2:12" x14ac:dyDescent="0.2">
      <c r="B63" s="1" t="s">
        <v>99</v>
      </c>
      <c r="J63" s="30">
        <v>210.952</v>
      </c>
      <c r="K63" s="30">
        <v>251.779</v>
      </c>
      <c r="L63" s="30">
        <v>282.55700000000002</v>
      </c>
    </row>
    <row r="64" spans="2:12" x14ac:dyDescent="0.2">
      <c r="B64" s="1" t="s">
        <v>100</v>
      </c>
      <c r="J64" s="30">
        <v>54.417999999999999</v>
      </c>
      <c r="K64" s="30">
        <v>58.344000000000001</v>
      </c>
      <c r="L64" s="30">
        <v>79.353999999999999</v>
      </c>
    </row>
    <row r="65" spans="2:12" x14ac:dyDescent="0.2">
      <c r="B65" s="1" t="s">
        <v>101</v>
      </c>
      <c r="J65" s="30">
        <v>14.882</v>
      </c>
      <c r="K65" s="30">
        <v>14.906000000000001</v>
      </c>
      <c r="L65" s="30">
        <v>15.212999999999999</v>
      </c>
    </row>
    <row r="66" spans="2:12" x14ac:dyDescent="0.2">
      <c r="B66" s="1" t="s">
        <v>102</v>
      </c>
      <c r="C66" s="1">
        <f>SUM(C60:C65)</f>
        <v>0</v>
      </c>
      <c r="D66" s="1">
        <f t="shared" ref="D66:K66" si="17">SUM(D60:D65)</f>
        <v>0</v>
      </c>
      <c r="E66" s="1">
        <f t="shared" si="17"/>
        <v>0</v>
      </c>
      <c r="F66" s="1">
        <f t="shared" si="17"/>
        <v>0</v>
      </c>
      <c r="G66" s="1">
        <f t="shared" si="17"/>
        <v>0</v>
      </c>
      <c r="H66" s="1">
        <f t="shared" si="17"/>
        <v>0</v>
      </c>
      <c r="I66" s="1">
        <f t="shared" si="17"/>
        <v>0</v>
      </c>
      <c r="J66" s="30">
        <f t="shared" si="17"/>
        <v>1662.105</v>
      </c>
      <c r="K66" s="30">
        <f t="shared" si="17"/>
        <v>1723.232</v>
      </c>
      <c r="L66" s="30">
        <f t="shared" ref="L66" si="18">SUM(L60:L65)</f>
        <v>1787.8340000000001</v>
      </c>
    </row>
    <row r="68" spans="2:12" s="30" customFormat="1" x14ac:dyDescent="0.2">
      <c r="B68" s="30" t="s">
        <v>106</v>
      </c>
      <c r="J68" s="30">
        <f>J71</f>
        <v>192.31999999999971</v>
      </c>
      <c r="K68" s="30">
        <f t="shared" ref="K68:L68" si="19">K71</f>
        <v>156.23600000000033</v>
      </c>
      <c r="L68" s="30">
        <f>L71</f>
        <v>153.43499999999972</v>
      </c>
    </row>
    <row r="69" spans="2:12" x14ac:dyDescent="0.2">
      <c r="B69" s="1" t="s">
        <v>107</v>
      </c>
      <c r="J69" s="30">
        <f>J68+J66</f>
        <v>1854.4249999999997</v>
      </c>
      <c r="K69" s="30">
        <f t="shared" ref="K69" si="20">K68+K66</f>
        <v>1879.4680000000003</v>
      </c>
      <c r="L69" s="30">
        <f>L68+L66</f>
        <v>1941.2689999999998</v>
      </c>
    </row>
    <row r="71" spans="2:12" x14ac:dyDescent="0.2">
      <c r="B71" s="1" t="s">
        <v>108</v>
      </c>
      <c r="J71" s="30">
        <f>J54-J66</f>
        <v>192.31999999999971</v>
      </c>
      <c r="K71" s="30">
        <f t="shared" ref="K71:L71" si="21">K54-K66</f>
        <v>156.23600000000033</v>
      </c>
      <c r="L71" s="30">
        <f>L54-L66</f>
        <v>153.43499999999972</v>
      </c>
    </row>
    <row r="72" spans="2:12" x14ac:dyDescent="0.2">
      <c r="B72" s="1" t="s">
        <v>109</v>
      </c>
      <c r="K72" s="1">
        <f t="shared" ref="K72" si="22">K71/K25</f>
        <v>0.95935885678437627</v>
      </c>
      <c r="L72" s="1">
        <f>L71/L25</f>
        <v>0.94434237977861546</v>
      </c>
    </row>
    <row r="74" spans="2:12" x14ac:dyDescent="0.2">
      <c r="B74" s="1" t="s">
        <v>6</v>
      </c>
      <c r="J74" s="30">
        <f>J41+J43</f>
        <v>132.23599999999999</v>
      </c>
      <c r="K74" s="30">
        <f t="shared" ref="K74:L74" si="23">K41+K43</f>
        <v>113.29600000000001</v>
      </c>
      <c r="L74" s="30">
        <f>L41+L43</f>
        <v>91.570999999999998</v>
      </c>
    </row>
    <row r="75" spans="2:12" x14ac:dyDescent="0.2">
      <c r="B75" s="1" t="s">
        <v>7</v>
      </c>
      <c r="J75" s="30">
        <f>J58+J61</f>
        <v>870.05600000000004</v>
      </c>
      <c r="K75" s="30">
        <f t="shared" ref="K75:L75" si="24">K58+K61</f>
        <v>884.077</v>
      </c>
      <c r="L75" s="30">
        <f>L58+L61</f>
        <v>882.67700000000002</v>
      </c>
    </row>
    <row r="76" spans="2:12" x14ac:dyDescent="0.2">
      <c r="B76" s="1" t="s">
        <v>8</v>
      </c>
      <c r="J76" s="1">
        <f>J74-J75</f>
        <v>-737.82</v>
      </c>
      <c r="K76" s="1">
        <f t="shared" ref="K76" si="25">K74-K75</f>
        <v>-770.78099999999995</v>
      </c>
      <c r="L76" s="1">
        <f>L74-L75</f>
        <v>-791.10599999999999</v>
      </c>
    </row>
    <row r="78" spans="2:12" x14ac:dyDescent="0.2">
      <c r="B78" s="1" t="s">
        <v>110</v>
      </c>
      <c r="K78" s="1">
        <v>12.66</v>
      </c>
      <c r="L78" s="1">
        <v>13.72</v>
      </c>
    </row>
    <row r="79" spans="2:12" x14ac:dyDescent="0.2">
      <c r="B79" s="1" t="s">
        <v>5</v>
      </c>
      <c r="K79" s="30">
        <f>K78*K25</f>
        <v>2061.73919802</v>
      </c>
      <c r="L79" s="30">
        <f>L78*L25</f>
        <v>2229.20017684</v>
      </c>
    </row>
    <row r="80" spans="2:12" x14ac:dyDescent="0.2">
      <c r="B80" s="1" t="s">
        <v>9</v>
      </c>
      <c r="K80" s="30">
        <f t="shared" ref="K80" si="26">K79-K76</f>
        <v>2832.52019802</v>
      </c>
      <c r="L80" s="30">
        <f>L79-L76</f>
        <v>3020.3061768400003</v>
      </c>
    </row>
    <row r="82" spans="2:12" s="50" customFormat="1" x14ac:dyDescent="0.2">
      <c r="B82" s="50" t="s">
        <v>22</v>
      </c>
      <c r="K82" s="50">
        <f>K78/K72</f>
        <v>13.196313256995801</v>
      </c>
      <c r="L82" s="50">
        <f>L78/L72</f>
        <v>14.528628910222597</v>
      </c>
    </row>
    <row r="83" spans="2:12" x14ac:dyDescent="0.2">
      <c r="B83" s="1" t="s">
        <v>23</v>
      </c>
    </row>
    <row r="84" spans="2:12" x14ac:dyDescent="0.2">
      <c r="B84" s="1" t="s">
        <v>24</v>
      </c>
    </row>
    <row r="85" spans="2:12" x14ac:dyDescent="0.2">
      <c r="B85" s="1" t="s">
        <v>25</v>
      </c>
    </row>
    <row r="86" spans="2:12" x14ac:dyDescent="0.2">
      <c r="B86" s="1" t="s">
        <v>26</v>
      </c>
    </row>
  </sheetData>
  <hyperlinks>
    <hyperlink ref="L1" r:id="rId1" xr:uid="{2E2BC7D4-4E1F-4C3D-B443-76964C687FB9}"/>
  </hyperlinks>
  <pageMargins left="0.7" right="0.7" top="0.75" bottom="0.75" header="0.3" footer="0.3"/>
  <ignoredErrors>
    <ignoredError sqref="L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2023-03-13T15:42:20Z</dcterms:created>
  <dcterms:modified xsi:type="dcterms:W3CDTF">2023-03-14T12:21:17Z</dcterms:modified>
</cp:coreProperties>
</file>