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53D714A-0BEC-4C24-91F0-D91AF88120DC}" xr6:coauthVersionLast="36" xr6:coauthVersionMax="36" xr10:uidLastSave="{00000000-0000-0000-0000-000000000000}"/>
  <bookViews>
    <workbookView xWindow="0" yWindow="0" windowWidth="27885" windowHeight="11340" xr2:uid="{67A8AEE5-5541-4C98-BDDF-E609681A57BD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N34" i="2"/>
  <c r="O34" i="2"/>
  <c r="C37" i="1" l="1"/>
  <c r="C29" i="1"/>
  <c r="C10" i="1"/>
  <c r="C9" i="1"/>
  <c r="C7" i="1"/>
  <c r="I79" i="2" l="1"/>
  <c r="I77" i="2"/>
  <c r="I76" i="2"/>
  <c r="G68" i="2"/>
  <c r="H68" i="2"/>
  <c r="I68" i="2"/>
  <c r="G67" i="2"/>
  <c r="H67" i="2"/>
  <c r="I67" i="2"/>
  <c r="I64" i="2"/>
  <c r="I62" i="2"/>
  <c r="I51" i="2"/>
  <c r="I54" i="2" s="1"/>
  <c r="I59" i="2" s="1"/>
  <c r="I60" i="2" s="1"/>
  <c r="I44" i="2"/>
  <c r="I41" i="2"/>
  <c r="I75" i="2"/>
  <c r="I29" i="2"/>
  <c r="I25" i="2"/>
  <c r="I24" i="2"/>
  <c r="E21" i="2"/>
  <c r="E20" i="2"/>
  <c r="E19" i="2"/>
  <c r="E18" i="2"/>
  <c r="E6" i="2"/>
  <c r="E10" i="2" s="1"/>
  <c r="E12" i="2" s="1"/>
  <c r="E14" i="2" s="1"/>
  <c r="E15" i="2" s="1"/>
  <c r="I21" i="2"/>
  <c r="I19" i="2"/>
  <c r="I18" i="2"/>
  <c r="I6" i="2"/>
  <c r="I10" i="2" s="1"/>
  <c r="I57" i="2" l="1"/>
  <c r="I46" i="2"/>
  <c r="I12" i="2"/>
  <c r="I14" i="2" s="1"/>
  <c r="I15" i="2" l="1"/>
  <c r="I20" i="2"/>
  <c r="F75" i="2" l="1"/>
  <c r="G75" i="2"/>
  <c r="G64" i="2"/>
  <c r="G62" i="2"/>
  <c r="G60" i="2"/>
  <c r="G59" i="2"/>
  <c r="G57" i="2"/>
  <c r="G54" i="2"/>
  <c r="G51" i="2"/>
  <c r="G46" i="2"/>
  <c r="G44" i="2"/>
  <c r="G41" i="2"/>
  <c r="H75" i="2" l="1"/>
  <c r="D11" i="1" l="1"/>
  <c r="D10" i="1"/>
  <c r="D9" i="1"/>
  <c r="D7" i="1"/>
  <c r="G29" i="2"/>
  <c r="H29" i="2"/>
  <c r="C28" i="2"/>
  <c r="D28" i="2"/>
  <c r="F28" i="2"/>
  <c r="E28" i="2"/>
  <c r="G28" i="2"/>
  <c r="C11" i="1"/>
  <c r="F64" i="2"/>
  <c r="F62" i="2"/>
  <c r="H64" i="2"/>
  <c r="H62" i="2"/>
  <c r="H60" i="2"/>
  <c r="F59" i="2"/>
  <c r="H59" i="2"/>
  <c r="F57" i="2"/>
  <c r="F56" i="2"/>
  <c r="H57" i="2"/>
  <c r="F54" i="2"/>
  <c r="H54" i="2"/>
  <c r="F51" i="2"/>
  <c r="H51" i="2"/>
  <c r="F46" i="2"/>
  <c r="F44" i="2"/>
  <c r="F41" i="2"/>
  <c r="H46" i="2"/>
  <c r="H44" i="2"/>
  <c r="H41" i="2"/>
  <c r="H25" i="2"/>
  <c r="D25" i="2"/>
  <c r="G24" i="2"/>
  <c r="C21" i="2"/>
  <c r="C20" i="2"/>
  <c r="C19" i="2"/>
  <c r="C18" i="2"/>
  <c r="C13" i="2"/>
  <c r="C11" i="2"/>
  <c r="C9" i="2"/>
  <c r="C10" i="2" s="1"/>
  <c r="C12" i="2" s="1"/>
  <c r="C14" i="2" s="1"/>
  <c r="C15" i="2" s="1"/>
  <c r="C8" i="2"/>
  <c r="C7" i="2"/>
  <c r="C6" i="2"/>
  <c r="C5" i="2"/>
  <c r="C4" i="2"/>
  <c r="G7" i="2"/>
  <c r="G13" i="2"/>
  <c r="G11" i="2"/>
  <c r="G9" i="2"/>
  <c r="G8" i="2"/>
  <c r="G5" i="2"/>
  <c r="G4" i="2"/>
  <c r="G6" i="2"/>
  <c r="G18" i="2" s="1"/>
  <c r="H24" i="2"/>
  <c r="D6" i="2"/>
  <c r="D10" i="2" s="1"/>
  <c r="D12" i="2" s="1"/>
  <c r="D14" i="2" s="1"/>
  <c r="D15" i="2" s="1"/>
  <c r="H6" i="2"/>
  <c r="H10" i="2" s="1"/>
  <c r="H12" i="2" s="1"/>
  <c r="H14" i="2" s="1"/>
  <c r="H15" i="2" s="1"/>
  <c r="C8" i="1"/>
  <c r="C12" i="1" l="1"/>
  <c r="H18" i="2"/>
  <c r="H19" i="2"/>
  <c r="H20" i="2"/>
  <c r="H21" i="2"/>
  <c r="D18" i="2"/>
  <c r="D19" i="2"/>
  <c r="D20" i="2"/>
  <c r="D21" i="2"/>
  <c r="G10" i="2"/>
  <c r="G12" i="2" l="1"/>
  <c r="G19" i="2"/>
  <c r="G14" i="2" l="1"/>
  <c r="G21" i="2"/>
  <c r="G20" i="2" l="1"/>
  <c r="G15" i="2"/>
</calcChain>
</file>

<file path=xl/sharedStrings.xml><?xml version="1.0" encoding="utf-8"?>
<sst xmlns="http://schemas.openxmlformats.org/spreadsheetml/2006/main" count="130" uniqueCount="115">
  <si>
    <t>$RDDT</t>
  </si>
  <si>
    <t>Reddit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</si>
  <si>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</si>
  <si>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</si>
  <si>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</si>
  <si>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</si>
  <si>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</si>
  <si>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</si>
  <si>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</si>
  <si>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</si>
  <si>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</si>
  <si>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HQ</t>
  </si>
  <si>
    <t>Founded</t>
  </si>
  <si>
    <t>IPO</t>
  </si>
  <si>
    <t>Update</t>
  </si>
  <si>
    <t>IR</t>
  </si>
  <si>
    <t>DAU</t>
  </si>
  <si>
    <t>Profile</t>
  </si>
  <si>
    <t>Valuation Metrics</t>
  </si>
  <si>
    <t>P/B</t>
  </si>
  <si>
    <t>P/S</t>
  </si>
  <si>
    <t>EV/S</t>
  </si>
  <si>
    <t>P/E</t>
  </si>
  <si>
    <t>EV/E</t>
  </si>
  <si>
    <t>San Fransisco, CA</t>
  </si>
  <si>
    <t>Social Media, Search</t>
  </si>
  <si>
    <t>Key Events</t>
  </si>
  <si>
    <t>Q224</t>
  </si>
  <si>
    <t>Revenue</t>
  </si>
  <si>
    <t>COGS</t>
  </si>
  <si>
    <t>Gross Profit</t>
  </si>
  <si>
    <t>R&amp;D</t>
  </si>
  <si>
    <t>S&amp;M</t>
  </si>
  <si>
    <t>G&amp;A</t>
  </si>
  <si>
    <t>Operating Income</t>
  </si>
  <si>
    <t>Other Income</t>
  </si>
  <si>
    <t>Pretax Income</t>
  </si>
  <si>
    <t>Net Income</t>
  </si>
  <si>
    <t>EPS</t>
  </si>
  <si>
    <t>Taxes</t>
  </si>
  <si>
    <t>Revenue Y/Y</t>
  </si>
  <si>
    <t>Revenue Q/Q</t>
  </si>
  <si>
    <t>Gross Margin</t>
  </si>
  <si>
    <t>Operating Margin</t>
  </si>
  <si>
    <t>Net Margin</t>
  </si>
  <si>
    <t>Q223</t>
  </si>
  <si>
    <t>Q124</t>
  </si>
  <si>
    <t>Q323</t>
  </si>
  <si>
    <t>Q423</t>
  </si>
  <si>
    <t>Q324</t>
  </si>
  <si>
    <t>Q424</t>
  </si>
  <si>
    <t>Q123</t>
  </si>
  <si>
    <t>Balance Sheet</t>
  </si>
  <si>
    <t>Marketable Securities</t>
  </si>
  <si>
    <t>A/R</t>
  </si>
  <si>
    <t>Prepaid Expenses</t>
  </si>
  <si>
    <t>TCA</t>
  </si>
  <si>
    <t>PP&amp;E</t>
  </si>
  <si>
    <t>ROU</t>
  </si>
  <si>
    <t>Intangibles+Goodwill</t>
  </si>
  <si>
    <t>Other NCA</t>
  </si>
  <si>
    <t>Assets</t>
  </si>
  <si>
    <t>A/P</t>
  </si>
  <si>
    <t>Operating Lease</t>
  </si>
  <si>
    <t>Accrued Expenses</t>
  </si>
  <si>
    <t>TCL</t>
  </si>
  <si>
    <t>Other NCL</t>
  </si>
  <si>
    <t>S/E</t>
  </si>
  <si>
    <t>S/E+L</t>
  </si>
  <si>
    <t>Book Value</t>
  </si>
  <si>
    <t>Book Value per Share</t>
  </si>
  <si>
    <t>Share Price</t>
  </si>
  <si>
    <t>Liabilities</t>
  </si>
  <si>
    <t>CEO</t>
  </si>
  <si>
    <t>CFO</t>
  </si>
  <si>
    <t>COO</t>
  </si>
  <si>
    <t>Chair</t>
  </si>
  <si>
    <t>Founder</t>
  </si>
  <si>
    <t>Steve Huffman</t>
  </si>
  <si>
    <t>Huffman, Ohanian, Swartz</t>
  </si>
  <si>
    <t>Cashflow</t>
  </si>
  <si>
    <t>Tech Stack</t>
  </si>
  <si>
    <t>Originally Python w/ Pylons Framework</t>
  </si>
  <si>
    <t>Now mix of Py, Go &amp; JS</t>
  </si>
  <si>
    <t>Co-founder Aaron Swartz commits suicide by Hanging following indictment by DoJ</t>
  </si>
  <si>
    <t>Non-Finance Metrics</t>
  </si>
  <si>
    <t>ARPU</t>
  </si>
  <si>
    <t>DAU Y/Y</t>
  </si>
  <si>
    <t>ARPU Y/Y</t>
  </si>
  <si>
    <t>(Millions)</t>
  </si>
  <si>
    <t>CFFO</t>
  </si>
  <si>
    <t>CapEx</t>
  </si>
  <si>
    <t>FCF</t>
  </si>
  <si>
    <t>-</t>
  </si>
  <si>
    <t>Link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</si>
  <si>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</si>
  <si>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</si>
  <si>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</si>
  <si>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</si>
  <si>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</si>
  <si>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</si>
  <si>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</si>
  <si>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</si>
  <si>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</si>
  <si>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</si>
  <si>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</si>
  <si>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</si>
  <si>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FCF TTM</t>
  </si>
  <si>
    <t>FCF per share</t>
  </si>
  <si>
    <t>P/FCF</t>
  </si>
  <si>
    <t>Emply.</t>
  </si>
  <si>
    <t>Headcount</t>
  </si>
  <si>
    <t>Headcount Y/Y</t>
  </si>
  <si>
    <t>FY22</t>
  </si>
  <si>
    <t>FY21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</si>
</sst>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0" borderId="0" xfId="0" applyFont="1"/>
    <xf numFmtId="0" fontId="1" fillId="4" borderId="0" xfId="0" applyFont="1" applyFill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3" fontId="1" fillId="0" borderId="0" xfId="0" applyNumberFormat="1" applyFont="1" applyBorder="1"/>
    <xf numFmtId="3" fontId="1" fillId="0" borderId="7" xfId="0" applyNumberFormat="1" applyFont="1" applyBorder="1"/>
    <xf numFmtId="0" fontId="3" fillId="0" borderId="0" xfId="0" applyFont="1"/>
    <xf numFmtId="0" fontId="4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1" applyFont="1" applyAlignment="1">
      <alignment horizontal="right"/>
    </xf>
    <xf numFmtId="2" fontId="1" fillId="0" borderId="0" xfId="0" applyNumberFormat="1" applyFont="1"/>
    <xf numFmtId="3" fontId="2" fillId="0" borderId="0" xfId="0" applyNumberFormat="1" applyFont="1"/>
    <xf numFmtId="3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7" fillId="0" borderId="0" xfId="0" applyFont="1"/>
    <xf numFmtId="1" fontId="1" fillId="0" borderId="0" xfId="0" applyNumberFormat="1" applyFont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" fontId="3" fillId="0" borderId="0" xfId="0" applyNumberFormat="1" applyFont="1"/>
    <xf numFmtId="16" fontId="1" fillId="4" borderId="5" xfId="0" applyNumberFormat="1" applyFont="1" applyFill="1" applyBorder="1" applyAlignment="1">
      <alignment horizontal="center"/>
    </xf>
    <xf numFmtId="164" fontId="1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1" fillId="4" borderId="0" xfId="0" applyFont="1" applyFill="1" applyAlignment="1">
      <alignment horizontal="left" indent="1"/>
    </xf>
    <xf numFmtId="17" fontId="2" fillId="3" borderId="6" xfId="0" applyNumberFormat="1" applyFont="1" applyFill="1" applyBorder="1" applyAlignment="1">
      <alignment horizontal="center"/>
    </xf>
    <xf numFmtId="17" fontId="2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indent="1"/>
    </xf>
    <xf numFmtId="0" fontId="8" fillId="0" borderId="0" xfId="0" applyFont="1" applyAlignment="1">
      <alignment horizontal="left" indent="1"/>
    </xf>
    <xf numFmtId="0" fontId="8" fillId="0" borderId="0" xfId="0" applyFont="1"/>
    <xf numFmtId="9" fontId="8" fillId="0" borderId="0" xfId="0" applyNumberFormat="1" applyFont="1"/>
    <xf numFmtId="0" fontId="9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1" fontId="2" fillId="0" borderId="0" xfId="0" applyNumberFormat="1" applyFont="1"/>
    <xf numFmtId="9" fontId="8" fillId="0" borderId="0" xfId="0" applyNumberFormat="1" applyFont="1" applyAlignment="1">
      <alignment horizontal="left" indent="1"/>
    </xf>
    <xf numFmtId="0" fontId="2" fillId="2" borderId="0" xfId="0" applyFont="1" applyFill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0</xdr:row>
      <xdr:rowOff>104775</xdr:rowOff>
    </xdr:from>
    <xdr:to>
      <xdr:col>4</xdr:col>
      <xdr:colOff>447675</xdr:colOff>
      <xdr:row>2</xdr:row>
      <xdr:rowOff>151638</xdr:rowOff>
    </xdr:to>
    <xdr:pic>
      <xdr:nvPicPr>
        <xdr:cNvPr id="2" name="Picture 1" descr="Reddit Inc Homepage">
          <a:extLst>
            <a:ext uri="{FF2B5EF4-FFF2-40B4-BE49-F238E27FC236}">
              <a16:creationId xmlns:a16="http://schemas.microsoft.com/office/drawing/2014/main" id="{4DB9E60B-1476-4E93-80FC-51D36C42D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104775"/>
          <a:ext cx="1323975" cy="370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9525</xdr:rowOff>
    </xdr:from>
    <xdr:to>
      <xdr:col>9</xdr:col>
      <xdr:colOff>9525</xdr:colOff>
      <xdr:row>91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C8680D-9552-4A89-927E-7FA7A9FC4547}"/>
            </a:ext>
          </a:extLst>
        </xdr:cNvPr>
        <xdr:cNvCxnSpPr/>
      </xdr:nvCxnSpPr>
      <xdr:spPr>
        <a:xfrm>
          <a:off x="5734050" y="9525"/>
          <a:ext cx="0" cy="144684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.redditinc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ix?doc=/Archives/edgar/data/0001713445/000171344524000102/rddt-20240930.htm" TargetMode="External"/><Relationship Id="rId2" Type="http://schemas.openxmlformats.org/officeDocument/2006/relationships/hyperlink" Target="https://www.sec.gov/Archives/edgar/data/1713445/000171344524000006/rddt-20240331.htm" TargetMode="External"/><Relationship Id="rId1" Type="http://schemas.openxmlformats.org/officeDocument/2006/relationships/hyperlink" Target="https://sec.gov/Archives/edgar/data/1713445/000171344524000054/rddt-20240630.htm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5DF7-9041-4171-92CA-8771AF69EB10}">
  <dimension ref="A2:W41"/>
  <sheetViews>
    <sheetView tabSelected="1" workbookViewId="0">
      <selection activeCell="C7" sqref="C7"/>
    </sheetView>
  </sheetViews>
  <sheetFormatPr defaultRowHeight="12.75" x14ac:dyDescent="0.2"/>
  <cols>
    <col min="1" max="16384" width="9.140625" style="1"/>
  </cols>
  <sheetData>
    <row r="2" spans="1:23" x14ac:dyDescent="0.2">
      <c r="B2" s="5" t="s">
        <v>0</v>
      </c>
      <c r="G2" s="1" t="s">
        <v>25</v>
      </c>
    </row>
    <row r="3" spans="1:23" x14ac:dyDescent="0.2">
      <c r="B3" s="5" t="s">
        <v>1</v>
      </c>
    </row>
    <row r="5" spans="1:23" x14ac:dyDescent="0.2">
      <c r="B5" s="54" t="s">
        <v>2</v>
      </c>
      <c r="C5" s="55"/>
      <c r="D5" s="56"/>
      <c r="G5" s="54" t="s">
        <v>26</v>
      </c>
      <c r="H5" s="55"/>
      <c r="I5" s="55"/>
      <c r="J5" s="55"/>
      <c r="K5" s="55"/>
      <c r="L5" s="55"/>
      <c r="M5" s="55"/>
      <c r="N5" s="55"/>
      <c r="O5" s="56"/>
      <c r="T5" s="46" t="s">
        <v>81</v>
      </c>
      <c r="U5" s="46"/>
      <c r="V5" s="46"/>
      <c r="W5" s="46"/>
    </row>
    <row r="6" spans="1:23" x14ac:dyDescent="0.2">
      <c r="B6" s="3" t="s">
        <v>3</v>
      </c>
      <c r="C6" s="2">
        <v>129.71</v>
      </c>
      <c r="D6" s="29"/>
      <c r="G6" s="13"/>
      <c r="H6" s="7"/>
      <c r="I6" s="7"/>
      <c r="J6" s="7"/>
      <c r="K6" s="7"/>
      <c r="L6" s="7"/>
      <c r="M6" s="7"/>
      <c r="N6" s="7"/>
      <c r="O6" s="8"/>
      <c r="T6" s="6" t="s">
        <v>82</v>
      </c>
      <c r="U6" s="6"/>
      <c r="V6" s="6"/>
      <c r="W6" s="6"/>
    </row>
    <row r="7" spans="1:23" x14ac:dyDescent="0.2">
      <c r="B7" s="3" t="s">
        <v>4</v>
      </c>
      <c r="C7" s="15">
        <f>+'Financial Model'!I16</f>
        <v>169.16992200000001</v>
      </c>
      <c r="D7" s="29" t="str">
        <f>+$C$32</f>
        <v>Q324</v>
      </c>
      <c r="G7" s="13"/>
      <c r="H7" s="7"/>
      <c r="I7" s="7"/>
      <c r="J7" s="7"/>
      <c r="K7" s="7"/>
      <c r="L7" s="7"/>
      <c r="M7" s="7"/>
      <c r="N7" s="7"/>
      <c r="O7" s="8"/>
      <c r="T7" s="35" t="s">
        <v>83</v>
      </c>
      <c r="U7" s="6"/>
      <c r="V7" s="6"/>
      <c r="W7" s="6"/>
    </row>
    <row r="8" spans="1:23" x14ac:dyDescent="0.2">
      <c r="B8" s="3" t="s">
        <v>5</v>
      </c>
      <c r="C8" s="15">
        <f>C6*C7</f>
        <v>21943.030582620002</v>
      </c>
      <c r="D8" s="29"/>
      <c r="G8" s="13"/>
      <c r="H8" s="7"/>
      <c r="I8" s="7"/>
      <c r="J8" s="7"/>
      <c r="K8" s="7"/>
      <c r="L8" s="7"/>
      <c r="M8" s="7"/>
      <c r="N8" s="7"/>
      <c r="O8" s="8"/>
      <c r="T8" s="6"/>
      <c r="U8" s="6"/>
      <c r="V8" s="6"/>
      <c r="W8" s="6"/>
    </row>
    <row r="9" spans="1:23" x14ac:dyDescent="0.2">
      <c r="B9" s="3" t="s">
        <v>6</v>
      </c>
      <c r="C9" s="15">
        <f>+'Financial Model'!I62</f>
        <v>1744.9669999999999</v>
      </c>
      <c r="D9" s="29" t="str">
        <f t="shared" ref="D9:D11" si="0">+$C$32</f>
        <v>Q324</v>
      </c>
      <c r="G9" s="13"/>
      <c r="H9" s="7"/>
      <c r="I9" s="7"/>
      <c r="J9" s="7"/>
      <c r="K9" s="7"/>
      <c r="L9" s="7"/>
      <c r="M9" s="7"/>
      <c r="N9" s="7"/>
      <c r="O9" s="8"/>
      <c r="T9" s="6"/>
      <c r="U9" s="6"/>
      <c r="V9" s="6"/>
      <c r="W9" s="6"/>
    </row>
    <row r="10" spans="1:23" x14ac:dyDescent="0.2">
      <c r="B10" s="3" t="s">
        <v>7</v>
      </c>
      <c r="C10" s="15">
        <f>+'Financial Model'!I63</f>
        <v>0</v>
      </c>
      <c r="D10" s="29" t="str">
        <f t="shared" si="0"/>
        <v>Q324</v>
      </c>
      <c r="G10" s="13"/>
      <c r="H10" s="7"/>
      <c r="I10" s="7"/>
      <c r="J10" s="7"/>
      <c r="K10" s="7"/>
      <c r="L10" s="7"/>
      <c r="M10" s="7"/>
      <c r="N10" s="7"/>
      <c r="O10" s="8"/>
      <c r="T10" s="6"/>
      <c r="U10" s="6"/>
      <c r="V10" s="6"/>
      <c r="W10" s="6"/>
    </row>
    <row r="11" spans="1:23" x14ac:dyDescent="0.2">
      <c r="B11" s="3" t="s">
        <v>8</v>
      </c>
      <c r="C11" s="15">
        <f>C9-C10</f>
        <v>1744.9669999999999</v>
      </c>
      <c r="D11" s="29" t="str">
        <f t="shared" si="0"/>
        <v>Q324</v>
      </c>
      <c r="G11" s="13"/>
      <c r="H11" s="7"/>
      <c r="I11" s="7"/>
      <c r="J11" s="7"/>
      <c r="K11" s="7"/>
      <c r="L11" s="7"/>
      <c r="M11" s="7"/>
      <c r="N11" s="7"/>
      <c r="O11" s="8"/>
      <c r="T11" s="6"/>
      <c r="U11" s="6"/>
      <c r="V11" s="6"/>
      <c r="W11" s="6"/>
    </row>
    <row r="12" spans="1:23" x14ac:dyDescent="0.2">
      <c r="B12" s="4" t="s">
        <v>9</v>
      </c>
      <c r="C12" s="16">
        <f>C8-C11</f>
        <v>20198.063582620001</v>
      </c>
      <c r="D12" s="30"/>
      <c r="G12" s="13"/>
      <c r="H12" s="7"/>
      <c r="I12" s="7"/>
      <c r="J12" s="7"/>
      <c r="K12" s="7"/>
      <c r="L12" s="7"/>
      <c r="M12" s="7"/>
      <c r="N12" s="7"/>
      <c r="O12" s="8"/>
      <c r="T12" s="6"/>
      <c r="U12" s="6"/>
      <c r="V12" s="6"/>
      <c r="W12" s="6"/>
    </row>
    <row r="13" spans="1:23" x14ac:dyDescent="0.2">
      <c r="G13" s="13"/>
      <c r="H13" s="7"/>
      <c r="I13" s="7"/>
      <c r="J13" s="7"/>
      <c r="K13" s="7"/>
      <c r="L13" s="7"/>
      <c r="M13" s="7"/>
      <c r="N13" s="7"/>
      <c r="O13" s="8"/>
      <c r="T13" s="6"/>
      <c r="U13" s="6"/>
      <c r="V13" s="6"/>
      <c r="W13" s="6"/>
    </row>
    <row r="14" spans="1:23" x14ac:dyDescent="0.2">
      <c r="G14" s="13"/>
      <c r="H14" s="7"/>
      <c r="I14" s="7"/>
      <c r="J14" s="7"/>
      <c r="K14" s="7"/>
      <c r="L14" s="7"/>
      <c r="M14" s="7"/>
      <c r="N14" s="7"/>
      <c r="O14" s="8"/>
      <c r="T14" s="6"/>
      <c r="U14" s="6"/>
      <c r="V14" s="6"/>
      <c r="W14" s="6"/>
    </row>
    <row r="15" spans="1:23" x14ac:dyDescent="0.2">
      <c r="B15" s="54" t="s">
        <v>10</v>
      </c>
      <c r="C15" s="55"/>
      <c r="D15" s="56"/>
      <c r="G15" s="13"/>
      <c r="H15" s="7"/>
      <c r="I15" s="7"/>
      <c r="J15" s="7"/>
      <c r="K15" s="7"/>
      <c r="L15" s="7"/>
      <c r="M15" s="7"/>
      <c r="N15" s="7"/>
      <c r="O15" s="8"/>
    </row>
    <row r="16" spans="1:23" x14ac:dyDescent="0.2">
      <c r="A16" s="33">
        <v>42186</v>
      </c>
      <c r="B16" s="11" t="s">
        <v>73</v>
      </c>
      <c r="C16" s="49" t="s">
        <v>78</v>
      </c>
      <c r="D16" s="50"/>
      <c r="G16" s="13"/>
      <c r="H16" s="7"/>
      <c r="I16" s="7"/>
      <c r="J16" s="7"/>
      <c r="K16" s="7"/>
      <c r="L16" s="7"/>
      <c r="M16" s="7"/>
      <c r="N16" s="7"/>
      <c r="O16" s="8"/>
    </row>
    <row r="17" spans="1:15" x14ac:dyDescent="0.2">
      <c r="B17" s="11" t="s">
        <v>74</v>
      </c>
      <c r="C17" s="49"/>
      <c r="D17" s="50"/>
      <c r="G17" s="37">
        <v>41275</v>
      </c>
      <c r="H17" s="7" t="s">
        <v>84</v>
      </c>
      <c r="I17" s="7"/>
      <c r="J17" s="7"/>
      <c r="K17" s="7"/>
      <c r="L17" s="7"/>
      <c r="M17" s="7"/>
      <c r="N17" s="7"/>
      <c r="O17" s="8"/>
    </row>
    <row r="18" spans="1:15" x14ac:dyDescent="0.2">
      <c r="B18" s="11" t="s">
        <v>75</v>
      </c>
      <c r="C18" s="49"/>
      <c r="D18" s="50"/>
      <c r="G18" s="13"/>
      <c r="H18" s="7"/>
      <c r="I18" s="7"/>
      <c r="J18" s="7"/>
      <c r="K18" s="7"/>
      <c r="L18" s="7"/>
      <c r="M18" s="7"/>
      <c r="N18" s="7"/>
      <c r="O18" s="8"/>
    </row>
    <row r="19" spans="1:15" x14ac:dyDescent="0.2">
      <c r="B19" s="11" t="s">
        <v>76</v>
      </c>
      <c r="C19" s="49"/>
      <c r="D19" s="50"/>
      <c r="G19" s="13"/>
      <c r="H19" s="7"/>
      <c r="I19" s="7"/>
      <c r="J19" s="7"/>
      <c r="K19" s="7"/>
      <c r="L19" s="7"/>
      <c r="M19" s="7"/>
      <c r="N19" s="7"/>
      <c r="O19" s="8"/>
    </row>
    <row r="20" spans="1:15" x14ac:dyDescent="0.2">
      <c r="B20" s="34" t="s">
        <v>77</v>
      </c>
      <c r="C20" s="57" t="s">
        <v>79</v>
      </c>
      <c r="D20" s="58"/>
      <c r="G20" s="36"/>
      <c r="H20" s="9"/>
      <c r="I20" s="9"/>
      <c r="J20" s="9"/>
      <c r="K20" s="9"/>
      <c r="L20" s="9"/>
      <c r="M20" s="9"/>
      <c r="N20" s="9"/>
      <c r="O20" s="10"/>
    </row>
    <row r="23" spans="1:15" x14ac:dyDescent="0.2">
      <c r="B23" s="54" t="s">
        <v>17</v>
      </c>
      <c r="C23" s="55"/>
      <c r="D23" s="56"/>
    </row>
    <row r="24" spans="1:15" x14ac:dyDescent="0.2">
      <c r="B24" s="13" t="s">
        <v>11</v>
      </c>
      <c r="C24" s="49" t="s">
        <v>24</v>
      </c>
      <c r="D24" s="50"/>
    </row>
    <row r="25" spans="1:15" x14ac:dyDescent="0.2">
      <c r="B25" s="13" t="s">
        <v>12</v>
      </c>
      <c r="C25" s="49">
        <v>2005</v>
      </c>
      <c r="D25" s="50"/>
    </row>
    <row r="26" spans="1:15" x14ac:dyDescent="0.2">
      <c r="B26" s="13" t="s">
        <v>13</v>
      </c>
      <c r="C26" s="49">
        <v>2024</v>
      </c>
      <c r="D26" s="50"/>
    </row>
    <row r="27" spans="1:15" x14ac:dyDescent="0.2">
      <c r="B27" s="13"/>
      <c r="C27" s="49"/>
      <c r="D27" s="50"/>
    </row>
    <row r="28" spans="1:15" x14ac:dyDescent="0.2">
      <c r="B28" s="13"/>
      <c r="C28" s="49"/>
      <c r="D28" s="50"/>
    </row>
    <row r="29" spans="1:15" x14ac:dyDescent="0.2">
      <c r="A29" s="42" t="s">
        <v>89</v>
      </c>
      <c r="B29" s="13" t="s">
        <v>16</v>
      </c>
      <c r="C29" s="51">
        <f>+'Financial Model'!I28</f>
        <v>97.2</v>
      </c>
      <c r="D29" s="50"/>
    </row>
    <row r="30" spans="1:15" x14ac:dyDescent="0.2">
      <c r="B30" s="13" t="s">
        <v>110</v>
      </c>
      <c r="C30" s="51">
        <f>+'Financial Model'!O33</f>
        <v>2013</v>
      </c>
      <c r="D30" s="50"/>
    </row>
    <row r="31" spans="1:15" x14ac:dyDescent="0.2">
      <c r="B31" s="13"/>
      <c r="C31" s="49"/>
      <c r="D31" s="50"/>
    </row>
    <row r="32" spans="1:15" x14ac:dyDescent="0.2">
      <c r="B32" s="13" t="s">
        <v>14</v>
      </c>
      <c r="C32" s="12" t="s">
        <v>49</v>
      </c>
      <c r="D32" s="32">
        <v>45594</v>
      </c>
    </row>
    <row r="33" spans="2:4" x14ac:dyDescent="0.2">
      <c r="B33" s="14" t="s">
        <v>15</v>
      </c>
      <c r="C33" s="52" t="s">
        <v>94</v>
      </c>
      <c r="D33" s="53"/>
    </row>
    <row r="36" spans="2:4" x14ac:dyDescent="0.2">
      <c r="B36" s="54" t="s">
        <v>18</v>
      </c>
      <c r="C36" s="55"/>
      <c r="D36" s="56"/>
    </row>
    <row r="37" spans="2:4" x14ac:dyDescent="0.2">
      <c r="B37" s="13" t="s">
        <v>19</v>
      </c>
      <c r="C37" s="47">
        <f>+C6/'Financial Model'!I60</f>
        <v>11.095743232541535</v>
      </c>
      <c r="D37" s="48"/>
    </row>
    <row r="38" spans="2:4" x14ac:dyDescent="0.2">
      <c r="B38" s="13" t="s">
        <v>20</v>
      </c>
      <c r="C38" s="47"/>
      <c r="D38" s="48"/>
    </row>
    <row r="39" spans="2:4" x14ac:dyDescent="0.2">
      <c r="B39" s="13" t="s">
        <v>21</v>
      </c>
      <c r="C39" s="47"/>
      <c r="D39" s="48"/>
    </row>
    <row r="40" spans="2:4" x14ac:dyDescent="0.2">
      <c r="B40" s="13" t="s">
        <v>22</v>
      </c>
      <c r="C40" s="47"/>
      <c r="D40" s="48"/>
    </row>
    <row r="41" spans="2:4" x14ac:dyDescent="0.2">
      <c r="B41" s="13" t="s">
        <v>23</v>
      </c>
      <c r="C41" s="47"/>
      <c r="D41" s="48"/>
    </row>
  </sheetData>
  <mergeCells count="25">
    <mergeCell ref="C41:D41"/>
    <mergeCell ref="C30:D30"/>
    <mergeCell ref="C31:D31"/>
    <mergeCell ref="C33:D33"/>
    <mergeCell ref="G5:O5"/>
    <mergeCell ref="C20:D20"/>
    <mergeCell ref="C19:D19"/>
    <mergeCell ref="C18:D18"/>
    <mergeCell ref="C17:D17"/>
    <mergeCell ref="C16:D16"/>
    <mergeCell ref="B5:D5"/>
    <mergeCell ref="B15:D15"/>
    <mergeCell ref="B23:D23"/>
    <mergeCell ref="C24:D24"/>
    <mergeCell ref="B36:D36"/>
    <mergeCell ref="C25:D25"/>
    <mergeCell ref="T5:W5"/>
    <mergeCell ref="C37:D37"/>
    <mergeCell ref="C38:D38"/>
    <mergeCell ref="C39:D39"/>
    <mergeCell ref="C40:D40"/>
    <mergeCell ref="C26:D26"/>
    <mergeCell ref="C27:D27"/>
    <mergeCell ref="C28:D28"/>
    <mergeCell ref="C29:D29"/>
  </mergeCells>
  <hyperlinks>
    <hyperlink ref="C33:D33" r:id="rId1" display="Link" xr:uid="{F82EFD67-97F9-4AD3-AEF6-2D6984AA7CF2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6E61-85C1-478D-A3A1-0D08F166CC45}">
  <dimension ref="B1:Z7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34" sqref="O34"/>
    </sheetView>
  </sheetViews>
  <sheetFormatPr defaultRowHeight="12.75" x14ac:dyDescent="0.2"/>
  <cols>
    <col min="1" max="1" width="4.28515625" style="1" customWidth="1"/>
    <col min="2" max="2" width="17.5703125" style="1" bestFit="1" customWidth="1"/>
    <col min="3" max="16384" width="9.140625" style="1"/>
  </cols>
  <sheetData>
    <row r="1" spans="2:26" s="20" customFormat="1" x14ac:dyDescent="0.2">
      <c r="C1" s="20" t="s">
        <v>51</v>
      </c>
      <c r="D1" s="20" t="s">
        <v>45</v>
      </c>
      <c r="E1" s="20" t="s">
        <v>47</v>
      </c>
      <c r="F1" s="20" t="s">
        <v>48</v>
      </c>
      <c r="G1" s="21" t="s">
        <v>46</v>
      </c>
      <c r="H1" s="21" t="s">
        <v>27</v>
      </c>
      <c r="I1" s="21" t="s">
        <v>49</v>
      </c>
      <c r="J1" s="20" t="s">
        <v>50</v>
      </c>
      <c r="M1" s="20" t="s">
        <v>114</v>
      </c>
      <c r="N1" s="20" t="s">
        <v>113</v>
      </c>
      <c r="O1" s="20" t="s">
        <v>95</v>
      </c>
      <c r="P1" s="20" t="s">
        <v>96</v>
      </c>
      <c r="Q1" s="20" t="s">
        <v>97</v>
      </c>
      <c r="R1" s="20" t="s">
        <v>98</v>
      </c>
      <c r="S1" s="20" t="s">
        <v>99</v>
      </c>
      <c r="T1" s="20" t="s">
        <v>100</v>
      </c>
      <c r="U1" s="20" t="s">
        <v>101</v>
      </c>
      <c r="V1" s="20" t="s">
        <v>102</v>
      </c>
      <c r="W1" s="20" t="s">
        <v>103</v>
      </c>
      <c r="X1" s="20" t="s">
        <v>104</v>
      </c>
      <c r="Y1" s="20" t="s">
        <v>105</v>
      </c>
      <c r="Z1" s="20" t="s">
        <v>106</v>
      </c>
    </row>
    <row r="2" spans="2:26" s="17" customFormat="1" x14ac:dyDescent="0.2">
      <c r="B2" s="18"/>
      <c r="C2" s="19">
        <v>45016</v>
      </c>
      <c r="D2" s="19">
        <v>45107</v>
      </c>
      <c r="F2" s="19">
        <v>45291</v>
      </c>
      <c r="G2" s="19">
        <v>45382</v>
      </c>
      <c r="H2" s="19">
        <v>45473</v>
      </c>
      <c r="I2" s="19">
        <v>45565</v>
      </c>
    </row>
    <row r="3" spans="2:26" s="17" customFormat="1" x14ac:dyDescent="0.2">
      <c r="B3" s="18"/>
      <c r="G3" s="31">
        <v>45419</v>
      </c>
      <c r="H3" s="31">
        <v>45510</v>
      </c>
      <c r="I3" s="31">
        <v>45594</v>
      </c>
    </row>
    <row r="4" spans="2:26" s="5" customFormat="1" x14ac:dyDescent="0.2">
      <c r="B4" s="5" t="s">
        <v>28</v>
      </c>
      <c r="C4" s="23">
        <f>346.771-D4</f>
        <v>163.74</v>
      </c>
      <c r="D4" s="23">
        <v>183.03100000000001</v>
      </c>
      <c r="E4" s="23">
        <v>207.50800000000001</v>
      </c>
      <c r="G4" s="23">
        <f>524.147-H4</f>
        <v>242.96300000000002</v>
      </c>
      <c r="H4" s="23">
        <v>281.18400000000003</v>
      </c>
      <c r="I4" s="23">
        <v>348.351</v>
      </c>
    </row>
    <row r="5" spans="2:26" x14ac:dyDescent="0.2">
      <c r="B5" s="1" t="s">
        <v>29</v>
      </c>
      <c r="C5" s="24">
        <f>55.669-D5</f>
        <v>26.832999999999998</v>
      </c>
      <c r="D5" s="24">
        <v>28.835999999999999</v>
      </c>
      <c r="E5" s="24">
        <v>26.395</v>
      </c>
      <c r="G5" s="24">
        <f>57.117-H5</f>
        <v>27.615999999999996</v>
      </c>
      <c r="H5" s="24">
        <v>29.501000000000001</v>
      </c>
      <c r="I5" s="24">
        <v>34.662999999999997</v>
      </c>
    </row>
    <row r="6" spans="2:26" s="5" customFormat="1" x14ac:dyDescent="0.2">
      <c r="B6" s="5" t="s">
        <v>30</v>
      </c>
      <c r="C6" s="23">
        <f>+C4-C5</f>
        <v>136.90700000000001</v>
      </c>
      <c r="D6" s="23">
        <f>+D4-D5</f>
        <v>154.19499999999999</v>
      </c>
      <c r="E6" s="23">
        <f>+E4-E5</f>
        <v>181.113</v>
      </c>
      <c r="G6" s="23">
        <f>+G4-G5</f>
        <v>215.34700000000004</v>
      </c>
      <c r="H6" s="23">
        <f>+H4-H5</f>
        <v>251.68300000000002</v>
      </c>
      <c r="I6" s="23">
        <f>+I4-I5</f>
        <v>313.68799999999999</v>
      </c>
    </row>
    <row r="7" spans="2:26" x14ac:dyDescent="0.2">
      <c r="B7" s="1" t="s">
        <v>31</v>
      </c>
      <c r="C7" s="24">
        <f>218.493-D7</f>
        <v>108.767</v>
      </c>
      <c r="D7" s="24">
        <v>109.726</v>
      </c>
      <c r="E7" s="24">
        <v>108.285</v>
      </c>
      <c r="G7" s="24">
        <f>579.807-H7</f>
        <v>437.03000000000003</v>
      </c>
      <c r="H7" s="24">
        <v>142.77699999999999</v>
      </c>
      <c r="I7" s="24">
        <v>166.70099999999999</v>
      </c>
    </row>
    <row r="8" spans="2:26" x14ac:dyDescent="0.2">
      <c r="B8" s="1" t="s">
        <v>32</v>
      </c>
      <c r="C8" s="24">
        <f>117.136-D8</f>
        <v>57.910999999999994</v>
      </c>
      <c r="D8" s="24">
        <v>59.225000000000001</v>
      </c>
      <c r="E8" s="24">
        <v>55.113999999999997</v>
      </c>
      <c r="G8" s="24">
        <f>195.553-H8</f>
        <v>124.095</v>
      </c>
      <c r="H8" s="24">
        <v>71.457999999999998</v>
      </c>
      <c r="I8" s="24">
        <v>74.510000000000005</v>
      </c>
    </row>
    <row r="9" spans="2:26" x14ac:dyDescent="0.2">
      <c r="B9" s="1" t="s">
        <v>33</v>
      </c>
      <c r="C9" s="24">
        <f>79.034-D9</f>
        <v>40.801000000000009</v>
      </c>
      <c r="D9" s="24">
        <v>38.232999999999997</v>
      </c>
      <c r="E9" s="24">
        <v>37.228999999999999</v>
      </c>
      <c r="G9" s="24">
        <f>311.964-H9</f>
        <v>243.477</v>
      </c>
      <c r="H9" s="24">
        <v>68.486999999999995</v>
      </c>
      <c r="I9" s="24">
        <v>65.653000000000006</v>
      </c>
    </row>
    <row r="10" spans="2:26" s="5" customFormat="1" x14ac:dyDescent="0.2">
      <c r="B10" s="5" t="s">
        <v>34</v>
      </c>
      <c r="C10" s="23">
        <f>+C6-C7-C8-C9</f>
        <v>-70.571999999999989</v>
      </c>
      <c r="D10" s="23">
        <f>+D6-D7-D8-D9</f>
        <v>-52.989000000000004</v>
      </c>
      <c r="E10" s="23">
        <f>+E6-E7-E8-E9</f>
        <v>-19.514999999999993</v>
      </c>
      <c r="G10" s="23">
        <f>+G6-G7-G8-G9</f>
        <v>-589.255</v>
      </c>
      <c r="H10" s="23">
        <f>+H6-H7-H8-H9</f>
        <v>-31.038999999999959</v>
      </c>
      <c r="I10" s="23">
        <f>+I6-I7-I8-I9</f>
        <v>6.8239999999999839</v>
      </c>
    </row>
    <row r="11" spans="2:26" x14ac:dyDescent="0.2">
      <c r="B11" s="1" t="s">
        <v>35</v>
      </c>
      <c r="C11" s="24">
        <f>24.03-D11</f>
        <v>10.724000000000002</v>
      </c>
      <c r="D11" s="24">
        <v>13.305999999999999</v>
      </c>
      <c r="E11" s="24">
        <v>12.647</v>
      </c>
      <c r="G11" s="24">
        <f>35.278-H11</f>
        <v>14.553999999999998</v>
      </c>
      <c r="H11" s="24">
        <v>20.724</v>
      </c>
      <c r="I11" s="24">
        <v>22.968</v>
      </c>
    </row>
    <row r="12" spans="2:26" x14ac:dyDescent="0.2">
      <c r="B12" s="1" t="s">
        <v>36</v>
      </c>
      <c r="C12" s="24">
        <f>+C10+C11</f>
        <v>-59.847999999999985</v>
      </c>
      <c r="D12" s="24">
        <f>+D10+D11</f>
        <v>-39.683000000000007</v>
      </c>
      <c r="E12" s="24">
        <f>+E10+E11</f>
        <v>-6.8679999999999932</v>
      </c>
      <c r="G12" s="24">
        <f>+G10+G11</f>
        <v>-574.70100000000002</v>
      </c>
      <c r="H12" s="24">
        <f>+H10+H11</f>
        <v>-10.314999999999959</v>
      </c>
      <c r="I12" s="24">
        <f>+I10+I11</f>
        <v>29.791999999999984</v>
      </c>
    </row>
    <row r="13" spans="2:26" x14ac:dyDescent="0.2">
      <c r="B13" s="1" t="s">
        <v>39</v>
      </c>
      <c r="C13" s="24">
        <f>2.414-D13</f>
        <v>0.98800000000000021</v>
      </c>
      <c r="D13" s="24">
        <v>1.4259999999999999</v>
      </c>
      <c r="E13" s="24">
        <v>0.44500000000000001</v>
      </c>
      <c r="G13" s="24">
        <f>0.149-H13</f>
        <v>0.36499999999999999</v>
      </c>
      <c r="H13" s="24">
        <v>-0.216</v>
      </c>
      <c r="I13" s="24">
        <v>-3.1E-2</v>
      </c>
    </row>
    <row r="14" spans="2:26" s="5" customFormat="1" x14ac:dyDescent="0.2">
      <c r="B14" s="5" t="s">
        <v>37</v>
      </c>
      <c r="C14" s="23">
        <f>+C12-C13</f>
        <v>-60.835999999999984</v>
      </c>
      <c r="D14" s="23">
        <f>+D12-D13</f>
        <v>-41.109000000000009</v>
      </c>
      <c r="E14" s="23">
        <f>+E12-E13</f>
        <v>-7.3129999999999935</v>
      </c>
      <c r="G14" s="23">
        <f>+G12-G13</f>
        <v>-575.06600000000003</v>
      </c>
      <c r="H14" s="23">
        <f>+H12-H13</f>
        <v>-10.098999999999959</v>
      </c>
      <c r="I14" s="23">
        <f>+I12-I13</f>
        <v>29.822999999999983</v>
      </c>
    </row>
    <row r="15" spans="2:26" x14ac:dyDescent="0.2">
      <c r="B15" s="1" t="s">
        <v>38</v>
      </c>
      <c r="C15" s="22">
        <f>+C14/C16</f>
        <v>-1.0468255517597123</v>
      </c>
      <c r="D15" s="22">
        <f>+D14/D16</f>
        <v>-0.70261996626179901</v>
      </c>
      <c r="E15" s="22">
        <f>+E14/E16</f>
        <v>-0.12425328034691817</v>
      </c>
      <c r="G15" s="22">
        <f>+G14/G16</f>
        <v>-8.1871009673451596</v>
      </c>
      <c r="H15" s="22">
        <f>+H14/H16</f>
        <v>-6.1435891905339497E-2</v>
      </c>
      <c r="I15" s="22">
        <f>+I14/I16</f>
        <v>0.17629020364506628</v>
      </c>
    </row>
    <row r="16" spans="2:26" x14ac:dyDescent="0.2">
      <c r="B16" s="1" t="s">
        <v>4</v>
      </c>
      <c r="C16" s="24">
        <v>58.114744999999999</v>
      </c>
      <c r="D16" s="24">
        <v>58.508158000000002</v>
      </c>
      <c r="E16" s="24">
        <v>58.855589000000002</v>
      </c>
      <c r="G16" s="24">
        <v>70.240492000000003</v>
      </c>
      <c r="H16" s="24">
        <v>164.38273599999999</v>
      </c>
      <c r="I16" s="24">
        <v>169.16992200000001</v>
      </c>
    </row>
    <row r="18" spans="2:9" s="25" customFormat="1" x14ac:dyDescent="0.2">
      <c r="B18" s="25" t="s">
        <v>42</v>
      </c>
      <c r="C18" s="25">
        <f>+C6/C4</f>
        <v>0.836124343471357</v>
      </c>
      <c r="D18" s="25">
        <f>+D6/D4</f>
        <v>0.8424529178117367</v>
      </c>
      <c r="E18" s="25">
        <f>+E6/E4</f>
        <v>0.87280008481600702</v>
      </c>
      <c r="G18" s="25">
        <f>+G6/G4</f>
        <v>0.88633660269259107</v>
      </c>
      <c r="H18" s="25">
        <f>+H6/H4</f>
        <v>0.89508293501763969</v>
      </c>
      <c r="I18" s="25">
        <f>+I6/I4</f>
        <v>0.90049404192897387</v>
      </c>
    </row>
    <row r="19" spans="2:9" s="25" customFormat="1" x14ac:dyDescent="0.2">
      <c r="B19" s="25" t="s">
        <v>43</v>
      </c>
      <c r="C19" s="25">
        <f>C10/C4</f>
        <v>-0.43100036643459133</v>
      </c>
      <c r="D19" s="25">
        <f>D10/D4</f>
        <v>-0.28950833465369258</v>
      </c>
      <c r="E19" s="25">
        <f>E10/E4</f>
        <v>-9.4044566956454662E-2</v>
      </c>
      <c r="G19" s="25">
        <f>G10/G4</f>
        <v>-2.4252869778525947</v>
      </c>
      <c r="H19" s="25">
        <f>H10/H4</f>
        <v>-0.11038679298964364</v>
      </c>
      <c r="I19" s="25">
        <f>I10/I4</f>
        <v>1.9589437090750374E-2</v>
      </c>
    </row>
    <row r="20" spans="2:9" s="25" customFormat="1" x14ac:dyDescent="0.2">
      <c r="B20" s="25" t="s">
        <v>44</v>
      </c>
      <c r="C20" s="25">
        <f>C14/C4</f>
        <v>-0.37154024673262476</v>
      </c>
      <c r="D20" s="25">
        <f>D14/D4</f>
        <v>-0.22460129704804108</v>
      </c>
      <c r="E20" s="25">
        <f>E14/E4</f>
        <v>-3.5242014765695745E-2</v>
      </c>
      <c r="G20" s="25">
        <f>G14/G4</f>
        <v>-2.3668871391940334</v>
      </c>
      <c r="H20" s="25">
        <f>H14/H4</f>
        <v>-3.591598383976314E-2</v>
      </c>
      <c r="I20" s="25">
        <f>I14/I4</f>
        <v>8.5611925902322611E-2</v>
      </c>
    </row>
    <row r="21" spans="2:9" s="25" customFormat="1" x14ac:dyDescent="0.2">
      <c r="B21" s="25" t="s">
        <v>39</v>
      </c>
      <c r="C21" s="25">
        <f>C13/C12</f>
        <v>-1.6508488170030752E-2</v>
      </c>
      <c r="D21" s="25">
        <f>D13/D12</f>
        <v>-3.5934783156515375E-2</v>
      </c>
      <c r="E21" s="25">
        <f>E13/E12</f>
        <v>-6.4793244030285441E-2</v>
      </c>
      <c r="G21" s="25">
        <f>G13/G12</f>
        <v>-6.3511286738669325E-4</v>
      </c>
      <c r="H21" s="25">
        <f>H13/H12</f>
        <v>2.0940378090160045E-2</v>
      </c>
      <c r="I21" s="25">
        <f>I13/I12</f>
        <v>-1.0405477980665956E-3</v>
      </c>
    </row>
    <row r="24" spans="2:9" s="26" customFormat="1" x14ac:dyDescent="0.2">
      <c r="B24" s="26" t="s">
        <v>40</v>
      </c>
      <c r="C24" s="43" t="s">
        <v>93</v>
      </c>
      <c r="D24" s="43" t="s">
        <v>93</v>
      </c>
      <c r="E24" s="43" t="s">
        <v>93</v>
      </c>
      <c r="F24" s="43" t="s">
        <v>93</v>
      </c>
      <c r="G24" s="26">
        <f>G4/C4-1</f>
        <v>0.48383412727494823</v>
      </c>
      <c r="H24" s="26">
        <f>H4/D4-1</f>
        <v>0.53626434866224848</v>
      </c>
      <c r="I24" s="26">
        <f t="shared" ref="I24" si="0">I4/E4-1</f>
        <v>0.67873527767604136</v>
      </c>
    </row>
    <row r="25" spans="2:9" s="25" customFormat="1" x14ac:dyDescent="0.2">
      <c r="B25" s="25" t="s">
        <v>41</v>
      </c>
      <c r="C25" s="43" t="s">
        <v>93</v>
      </c>
      <c r="D25" s="25">
        <f>D4/C4-1</f>
        <v>0.1178148283864664</v>
      </c>
      <c r="H25" s="25">
        <f>H4/G4-1</f>
        <v>0.15731201870243616</v>
      </c>
      <c r="I25" s="25">
        <f t="shared" ref="I25" si="1">I4/H4-1</f>
        <v>0.23887205530897915</v>
      </c>
    </row>
    <row r="27" spans="2:9" x14ac:dyDescent="0.2">
      <c r="B27" s="27" t="s">
        <v>85</v>
      </c>
    </row>
    <row r="28" spans="2:9" s="24" customFormat="1" x14ac:dyDescent="0.2">
      <c r="B28" s="24" t="s">
        <v>16</v>
      </c>
      <c r="C28" s="24">
        <f>31.1+29.2</f>
        <v>60.3</v>
      </c>
      <c r="D28" s="24">
        <f>32.1+28.3</f>
        <v>60.400000000000006</v>
      </c>
      <c r="E28" s="24">
        <f>34.7+31.3</f>
        <v>66</v>
      </c>
      <c r="F28" s="24">
        <f>36.4+36.7</f>
        <v>73.099999999999994</v>
      </c>
      <c r="G28" s="24">
        <f>39.6+43.1</f>
        <v>82.7</v>
      </c>
      <c r="H28" s="24">
        <v>91.2</v>
      </c>
      <c r="I28" s="24">
        <v>97.2</v>
      </c>
    </row>
    <row r="29" spans="2:9" s="40" customFormat="1" x14ac:dyDescent="0.2">
      <c r="B29" s="39" t="s">
        <v>87</v>
      </c>
      <c r="G29" s="41">
        <f>G28/C28-1</f>
        <v>0.37147595356550589</v>
      </c>
      <c r="H29" s="41">
        <f>H28/D28-1</f>
        <v>0.50993377483443703</v>
      </c>
      <c r="I29" s="41">
        <f>I28/E28-1</f>
        <v>0.47272727272727266</v>
      </c>
    </row>
    <row r="30" spans="2:9" x14ac:dyDescent="0.2">
      <c r="B30" s="1" t="s">
        <v>86</v>
      </c>
      <c r="H30" s="1">
        <v>3.08</v>
      </c>
      <c r="I30" s="1">
        <v>3.58</v>
      </c>
    </row>
    <row r="31" spans="2:9" x14ac:dyDescent="0.2">
      <c r="B31" s="38" t="s">
        <v>88</v>
      </c>
    </row>
    <row r="33" spans="2:15" s="24" customFormat="1" x14ac:dyDescent="0.2">
      <c r="B33" s="24" t="s">
        <v>111</v>
      </c>
      <c r="M33" s="24">
        <v>1383</v>
      </c>
      <c r="N33" s="24">
        <v>1942</v>
      </c>
      <c r="O33" s="24">
        <v>2013</v>
      </c>
    </row>
    <row r="34" spans="2:15" s="25" customFormat="1" x14ac:dyDescent="0.2">
      <c r="B34" s="45" t="s">
        <v>112</v>
      </c>
      <c r="N34" s="25">
        <f>N33/M33-1</f>
        <v>0.40419378163412878</v>
      </c>
      <c r="O34" s="25">
        <f>O33/N33-1</f>
        <v>3.6560247167868098E-2</v>
      </c>
    </row>
    <row r="35" spans="2:15" x14ac:dyDescent="0.2">
      <c r="B35" s="27" t="s">
        <v>52</v>
      </c>
    </row>
    <row r="36" spans="2:15" x14ac:dyDescent="0.2">
      <c r="B36" s="27"/>
    </row>
    <row r="37" spans="2:15" s="5" customFormat="1" x14ac:dyDescent="0.2">
      <c r="B37" s="5" t="s">
        <v>6</v>
      </c>
      <c r="F37" s="23">
        <v>401.17599999999999</v>
      </c>
      <c r="G37" s="23">
        <v>968.51499999999999</v>
      </c>
      <c r="H37" s="23">
        <v>467.952</v>
      </c>
      <c r="I37" s="23">
        <v>515.89499999999998</v>
      </c>
    </row>
    <row r="38" spans="2:15" s="5" customFormat="1" x14ac:dyDescent="0.2">
      <c r="B38" s="5" t="s">
        <v>53</v>
      </c>
      <c r="F38" s="23">
        <v>811.94600000000003</v>
      </c>
      <c r="G38" s="23">
        <v>701.83500000000004</v>
      </c>
      <c r="H38" s="23">
        <v>1231.0989999999999</v>
      </c>
      <c r="I38" s="23">
        <v>1229.0719999999999</v>
      </c>
    </row>
    <row r="39" spans="2:15" x14ac:dyDescent="0.2">
      <c r="B39" s="1" t="s">
        <v>54</v>
      </c>
      <c r="F39" s="24">
        <v>245.279</v>
      </c>
      <c r="G39" s="24">
        <v>215.30699999999999</v>
      </c>
      <c r="H39" s="24">
        <v>240.09299999999999</v>
      </c>
      <c r="I39" s="24">
        <v>283.89</v>
      </c>
    </row>
    <row r="40" spans="2:15" x14ac:dyDescent="0.2">
      <c r="B40" s="1" t="s">
        <v>55</v>
      </c>
      <c r="F40" s="24">
        <v>21.286000000000001</v>
      </c>
      <c r="G40" s="24">
        <v>34.368000000000002</v>
      </c>
      <c r="H40" s="24">
        <v>41.598999999999997</v>
      </c>
      <c r="I40" s="24">
        <v>31.974</v>
      </c>
    </row>
    <row r="41" spans="2:15" x14ac:dyDescent="0.2">
      <c r="B41" s="1" t="s">
        <v>56</v>
      </c>
      <c r="F41" s="24">
        <f>SUM(F37:F40)</f>
        <v>1479.6870000000001</v>
      </c>
      <c r="G41" s="24">
        <f>SUM(G37:G40)</f>
        <v>1920.0249999999999</v>
      </c>
      <c r="H41" s="24">
        <f>SUM(H37:H40)</f>
        <v>1980.7429999999999</v>
      </c>
      <c r="I41" s="24">
        <f>SUM(I37:I40)</f>
        <v>2060.8310000000001</v>
      </c>
    </row>
    <row r="42" spans="2:15" x14ac:dyDescent="0.2">
      <c r="B42" s="1" t="s">
        <v>57</v>
      </c>
      <c r="F42" s="24">
        <v>14.946</v>
      </c>
      <c r="G42" s="24">
        <v>14.385</v>
      </c>
      <c r="H42" s="24">
        <v>14.167999999999999</v>
      </c>
      <c r="I42" s="24">
        <v>13.775</v>
      </c>
    </row>
    <row r="43" spans="2:15" x14ac:dyDescent="0.2">
      <c r="B43" s="1" t="s">
        <v>58</v>
      </c>
      <c r="F43" s="24">
        <v>24.007999999999999</v>
      </c>
      <c r="G43" s="24">
        <v>22.754000000000001</v>
      </c>
      <c r="H43" s="24">
        <v>25.106999999999999</v>
      </c>
      <c r="I43" s="24">
        <v>23.872</v>
      </c>
    </row>
    <row r="44" spans="2:15" x14ac:dyDescent="0.2">
      <c r="B44" s="1" t="s">
        <v>59</v>
      </c>
      <c r="F44" s="24">
        <f>32.147+26.299</f>
        <v>58.445999999999998</v>
      </c>
      <c r="G44" s="24">
        <f>26.299+29.928</f>
        <v>56.227000000000004</v>
      </c>
      <c r="H44" s="24">
        <f>27.772+26.299</f>
        <v>54.070999999999998</v>
      </c>
      <c r="I44" s="24">
        <f>27.904+42.174</f>
        <v>70.078000000000003</v>
      </c>
    </row>
    <row r="45" spans="2:15" x14ac:dyDescent="0.2">
      <c r="B45" s="1" t="s">
        <v>60</v>
      </c>
      <c r="F45" s="24">
        <v>19.38</v>
      </c>
      <c r="G45" s="24">
        <v>2.5049999999999999</v>
      </c>
      <c r="H45" s="24">
        <v>2.2730000000000001</v>
      </c>
      <c r="I45" s="24">
        <v>3.1520000000000001</v>
      </c>
    </row>
    <row r="46" spans="2:15" x14ac:dyDescent="0.2">
      <c r="B46" s="1" t="s">
        <v>61</v>
      </c>
      <c r="F46" s="24">
        <f>SUM(F41:F45)</f>
        <v>1596.4670000000001</v>
      </c>
      <c r="G46" s="24">
        <f>SUM(G41:G45)</f>
        <v>2015.896</v>
      </c>
      <c r="H46" s="24">
        <f>SUM(H41:H45)</f>
        <v>2076.3620000000001</v>
      </c>
      <c r="I46" s="24">
        <f>SUM(I41:I45)</f>
        <v>2171.7080000000001</v>
      </c>
    </row>
    <row r="48" spans="2:15" x14ac:dyDescent="0.2">
      <c r="B48" s="1" t="s">
        <v>62</v>
      </c>
      <c r="F48" s="24">
        <v>46.514000000000003</v>
      </c>
      <c r="G48" s="28">
        <v>45.378</v>
      </c>
      <c r="H48" s="24">
        <v>64.328999999999994</v>
      </c>
      <c r="I48" s="24">
        <v>62.042000000000002</v>
      </c>
    </row>
    <row r="49" spans="2:9" x14ac:dyDescent="0.2">
      <c r="B49" s="1" t="s">
        <v>63</v>
      </c>
      <c r="F49" s="24">
        <v>3.7069999999999999</v>
      </c>
      <c r="G49" s="28">
        <v>4.383</v>
      </c>
      <c r="H49" s="24">
        <v>5.3680000000000003</v>
      </c>
      <c r="I49" s="24">
        <v>5.3979999999999997</v>
      </c>
    </row>
    <row r="50" spans="2:9" x14ac:dyDescent="0.2">
      <c r="B50" s="1" t="s">
        <v>64</v>
      </c>
      <c r="F50" s="24">
        <v>83.349000000000004</v>
      </c>
      <c r="G50" s="28">
        <v>106.724</v>
      </c>
      <c r="H50" s="24">
        <v>89.817999999999998</v>
      </c>
      <c r="I50" s="24">
        <v>104.84399999999999</v>
      </c>
    </row>
    <row r="51" spans="2:9" x14ac:dyDescent="0.2">
      <c r="B51" s="1" t="s">
        <v>65</v>
      </c>
      <c r="F51" s="24">
        <f>SUM(F48:F50)</f>
        <v>133.57</v>
      </c>
      <c r="G51" s="28">
        <f>SUM(G48:G50)</f>
        <v>156.48500000000001</v>
      </c>
      <c r="H51" s="24">
        <f>SUM(H48:H50)</f>
        <v>159.51499999999999</v>
      </c>
      <c r="I51" s="24">
        <f>SUM(I48:I50)</f>
        <v>172.28399999999999</v>
      </c>
    </row>
    <row r="52" spans="2:9" x14ac:dyDescent="0.2">
      <c r="B52" s="1" t="s">
        <v>63</v>
      </c>
      <c r="F52" s="24">
        <v>22.04</v>
      </c>
      <c r="G52" s="28">
        <v>20.835000000000001</v>
      </c>
      <c r="H52" s="24">
        <v>22.757000000000001</v>
      </c>
      <c r="I52" s="24">
        <v>21.567</v>
      </c>
    </row>
    <row r="53" spans="2:9" x14ac:dyDescent="0.2">
      <c r="B53" s="1" t="s">
        <v>66</v>
      </c>
      <c r="F53" s="24">
        <v>0.28699999999999998</v>
      </c>
      <c r="G53" s="28">
        <v>0.27600000000000002</v>
      </c>
      <c r="H53" s="24">
        <v>0.255</v>
      </c>
      <c r="I53" s="24">
        <v>0.249</v>
      </c>
    </row>
    <row r="54" spans="2:9" x14ac:dyDescent="0.2">
      <c r="B54" s="1" t="s">
        <v>72</v>
      </c>
      <c r="F54" s="24">
        <f>SUM(F51:F53)</f>
        <v>155.89699999999999</v>
      </c>
      <c r="G54" s="28">
        <f>SUM(G51:G53)</f>
        <v>177.59600000000003</v>
      </c>
      <c r="H54" s="24">
        <f>SUM(H51:H53)</f>
        <v>182.52699999999999</v>
      </c>
      <c r="I54" s="24">
        <f>SUM(I51:I53)</f>
        <v>194.1</v>
      </c>
    </row>
    <row r="56" spans="2:9" s="24" customFormat="1" x14ac:dyDescent="0.2">
      <c r="B56" s="24" t="s">
        <v>67</v>
      </c>
      <c r="F56" s="24">
        <f>+F46-F54</f>
        <v>1440.5700000000002</v>
      </c>
      <c r="G56" s="24">
        <v>1838.3</v>
      </c>
      <c r="H56" s="24">
        <v>1893.835</v>
      </c>
      <c r="I56" s="24">
        <v>1977.6079999999999</v>
      </c>
    </row>
    <row r="57" spans="2:9" x14ac:dyDescent="0.2">
      <c r="B57" s="1" t="s">
        <v>68</v>
      </c>
      <c r="F57" s="24">
        <f>+F56+F54</f>
        <v>1596.4670000000001</v>
      </c>
      <c r="G57" s="24">
        <f>+G56+G54</f>
        <v>2015.896</v>
      </c>
      <c r="H57" s="24">
        <f>+H56+H54</f>
        <v>2076.3620000000001</v>
      </c>
      <c r="I57" s="24">
        <f>+I56+I54</f>
        <v>2171.7080000000001</v>
      </c>
    </row>
    <row r="59" spans="2:9" x14ac:dyDescent="0.2">
      <c r="B59" s="1" t="s">
        <v>69</v>
      </c>
      <c r="F59" s="24">
        <f>+F46-F54</f>
        <v>1440.5700000000002</v>
      </c>
      <c r="G59" s="24">
        <f>+G46-G54</f>
        <v>1838.3</v>
      </c>
      <c r="H59" s="24">
        <f>+H46-H54</f>
        <v>1893.835</v>
      </c>
      <c r="I59" s="24">
        <f>+I46-I54</f>
        <v>1977.6080000000002</v>
      </c>
    </row>
    <row r="60" spans="2:9" x14ac:dyDescent="0.2">
      <c r="B60" s="1" t="s">
        <v>70</v>
      </c>
      <c r="G60" s="1">
        <f>G59/G16</f>
        <v>26.17151371889593</v>
      </c>
      <c r="H60" s="1">
        <f>H59/H16</f>
        <v>11.520887448910694</v>
      </c>
      <c r="I60" s="1">
        <f>I59/I16</f>
        <v>11.69006863997963</v>
      </c>
    </row>
    <row r="62" spans="2:9" x14ac:dyDescent="0.2">
      <c r="B62" s="1" t="s">
        <v>6</v>
      </c>
      <c r="F62" s="24">
        <f>+F37+F38</f>
        <v>1213.1220000000001</v>
      </c>
      <c r="G62" s="24">
        <f>+G37+G38</f>
        <v>1670.35</v>
      </c>
      <c r="H62" s="24">
        <f>+H37+H38</f>
        <v>1699.0509999999999</v>
      </c>
      <c r="I62" s="24">
        <f>+I37+I38</f>
        <v>1744.9669999999999</v>
      </c>
    </row>
    <row r="63" spans="2:9" x14ac:dyDescent="0.2">
      <c r="B63" s="1" t="s">
        <v>7</v>
      </c>
      <c r="F63" s="1">
        <v>0</v>
      </c>
      <c r="G63" s="1">
        <v>0</v>
      </c>
      <c r="H63" s="1">
        <v>0</v>
      </c>
      <c r="I63" s="1">
        <v>0</v>
      </c>
    </row>
    <row r="64" spans="2:9" x14ac:dyDescent="0.2">
      <c r="B64" s="1" t="s">
        <v>8</v>
      </c>
      <c r="F64" s="24">
        <f>+F62-F63</f>
        <v>1213.1220000000001</v>
      </c>
      <c r="G64" s="24">
        <f>+G62-G63</f>
        <v>1670.35</v>
      </c>
      <c r="H64" s="24">
        <f>+H62-H63</f>
        <v>1699.0509999999999</v>
      </c>
      <c r="I64" s="24">
        <f>+I62-I63</f>
        <v>1744.9669999999999</v>
      </c>
    </row>
    <row r="66" spans="2:9" x14ac:dyDescent="0.2">
      <c r="B66" s="1" t="s">
        <v>71</v>
      </c>
      <c r="G66" s="1">
        <v>49.92</v>
      </c>
      <c r="H66" s="1">
        <v>63.58</v>
      </c>
      <c r="I66" s="1">
        <v>81.739999999999995</v>
      </c>
    </row>
    <row r="67" spans="2:9" s="24" customFormat="1" x14ac:dyDescent="0.2">
      <c r="B67" s="24" t="s">
        <v>5</v>
      </c>
      <c r="G67" s="24">
        <f>+G66*G16</f>
        <v>3506.4053606400003</v>
      </c>
      <c r="H67" s="24">
        <f>+H66*H16</f>
        <v>10451.454354879999</v>
      </c>
      <c r="I67" s="24">
        <f>+I66*I16</f>
        <v>13827.949424280001</v>
      </c>
    </row>
    <row r="68" spans="2:9" x14ac:dyDescent="0.2">
      <c r="B68" s="1" t="s">
        <v>9</v>
      </c>
      <c r="G68" s="24">
        <f>+G67-G64</f>
        <v>1836.0553606400003</v>
      </c>
      <c r="H68" s="24">
        <f>+H67-H64</f>
        <v>8752.4033548799998</v>
      </c>
      <c r="I68" s="24">
        <f>+I67-I64</f>
        <v>12082.98242428</v>
      </c>
    </row>
    <row r="72" spans="2:9" x14ac:dyDescent="0.2">
      <c r="B72" s="27" t="s">
        <v>80</v>
      </c>
    </row>
    <row r="73" spans="2:9" x14ac:dyDescent="0.2">
      <c r="B73" s="1" t="s">
        <v>90</v>
      </c>
      <c r="D73" s="24"/>
      <c r="F73" s="24">
        <v>4.0750000000000002</v>
      </c>
      <c r="G73" s="24">
        <v>32.064</v>
      </c>
      <c r="H73" s="28">
        <v>28.385000000000002</v>
      </c>
      <c r="I73" s="28">
        <v>71.622</v>
      </c>
    </row>
    <row r="74" spans="2:9" x14ac:dyDescent="0.2">
      <c r="B74" s="1" t="s">
        <v>91</v>
      </c>
      <c r="D74" s="24"/>
      <c r="F74" s="24">
        <v>0.35599999999999998</v>
      </c>
      <c r="G74" s="24">
        <v>2.851</v>
      </c>
      <c r="H74" s="28">
        <v>1.202</v>
      </c>
      <c r="I74" s="28">
        <v>1.353</v>
      </c>
    </row>
    <row r="75" spans="2:9" s="5" customFormat="1" x14ac:dyDescent="0.2">
      <c r="B75" s="5" t="s">
        <v>92</v>
      </c>
      <c r="D75" s="44"/>
      <c r="F75" s="44">
        <f>+F73-F74</f>
        <v>3.7190000000000003</v>
      </c>
      <c r="G75" s="44">
        <f>+G73-G74</f>
        <v>29.213000000000001</v>
      </c>
      <c r="H75" s="44">
        <f>+H73-H74</f>
        <v>27.183</v>
      </c>
      <c r="I75" s="44">
        <f>+I73-I74</f>
        <v>70.269000000000005</v>
      </c>
    </row>
    <row r="76" spans="2:9" x14ac:dyDescent="0.2">
      <c r="B76" s="1" t="s">
        <v>107</v>
      </c>
      <c r="I76" s="28">
        <f>+SUM(F75:I75)</f>
        <v>130.38400000000001</v>
      </c>
    </row>
    <row r="77" spans="2:9" x14ac:dyDescent="0.2">
      <c r="B77" s="1" t="s">
        <v>108</v>
      </c>
      <c r="I77" s="1">
        <f>+I76/I16</f>
        <v>0.77072802575389265</v>
      </c>
    </row>
    <row r="79" spans="2:9" x14ac:dyDescent="0.2">
      <c r="B79" s="1" t="s">
        <v>109</v>
      </c>
      <c r="I79" s="1">
        <f>+I66/I77</f>
        <v>106.05556988802306</v>
      </c>
    </row>
  </sheetData>
  <hyperlinks>
    <hyperlink ref="H1" r:id="rId1" xr:uid="{E02EB090-7FBE-4B92-AEB7-694A4D3430AF}"/>
    <hyperlink ref="G1" r:id="rId2" xr:uid="{89CF086C-830A-4261-A715-CBE0EE96DCF3}"/>
    <hyperlink ref="I1" r:id="rId3" xr:uid="{7BC3322F-073F-4C18-AA86-42BA9300B99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2024-10-24T23:40:00Z</dcterms:created>
  <dcterms:modified xsi:type="dcterms:W3CDTF">2024-11-08T16:54:49Z</dcterms:modified>
</cp:coreProperties>
</file>