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562CE30-82F3-4FF9-B370-BA1E3C7F2433}" xr6:coauthVersionLast="36" xr6:coauthVersionMax="47" xr10:uidLastSave="{00000000-0000-0000-0000-000000000000}"/>
  <bookViews>
    <workbookView xWindow="0" yWindow="495" windowWidth="33600" windowHeight="18900" xr2:uid="{4835F308-E20A-4B7A-9F17-94D4123EA96B}"/>
  </bookViews>
  <sheets>
    <sheet name="Main" sheetId="1" r:id="rId1"/>
    <sheet name="Financial Model" sheetId="2" r:id="rId2"/>
    <sheet name="Historical Projection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AL11" i="2" l="1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X11" i="2"/>
  <c r="X19" i="2"/>
  <c r="W5" i="2"/>
  <c r="W4" i="2"/>
  <c r="W7" i="2"/>
  <c r="Y3" i="2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X14" i="2"/>
  <c r="Y6" i="2"/>
  <c r="X6" i="2"/>
  <c r="X3" i="2"/>
  <c r="W3" i="2"/>
  <c r="W6" i="2"/>
  <c r="W14" i="2"/>
  <c r="V25" i="2"/>
  <c r="V29" i="2" s="1"/>
  <c r="L68" i="2"/>
  <c r="H68" i="2"/>
  <c r="U68" i="2"/>
  <c r="V68" i="2"/>
  <c r="H64" i="2"/>
  <c r="H63" i="2"/>
  <c r="L64" i="2"/>
  <c r="L63" i="2"/>
  <c r="U64" i="2"/>
  <c r="U63" i="2"/>
  <c r="U65" i="2" s="1"/>
  <c r="V64" i="2"/>
  <c r="C10" i="1" s="1"/>
  <c r="V63" i="2"/>
  <c r="C9" i="1" s="1"/>
  <c r="U50" i="2"/>
  <c r="U55" i="2" s="1"/>
  <c r="U58" i="2" s="1"/>
  <c r="V50" i="2"/>
  <c r="V55" i="2" s="1"/>
  <c r="V58" i="2" s="1"/>
  <c r="U39" i="2"/>
  <c r="U44" i="2" s="1"/>
  <c r="V39" i="2"/>
  <c r="V44" i="2" s="1"/>
  <c r="M14" i="2"/>
  <c r="V21" i="2"/>
  <c r="C7" i="1"/>
  <c r="V9" i="2"/>
  <c r="V5" i="2"/>
  <c r="V8" i="2" s="1"/>
  <c r="V17" i="2" s="1"/>
  <c r="M11" i="2"/>
  <c r="M7" i="2"/>
  <c r="M6" i="2"/>
  <c r="M4" i="2"/>
  <c r="M3" i="2"/>
  <c r="M22" i="2" s="1"/>
  <c r="D11" i="1"/>
  <c r="D10" i="1"/>
  <c r="D9" i="1"/>
  <c r="D7" i="1"/>
  <c r="Z6" i="2" l="1"/>
  <c r="AA6" i="2"/>
  <c r="AB6" i="2"/>
  <c r="H65" i="2"/>
  <c r="V65" i="2"/>
  <c r="V69" i="2" s="1"/>
  <c r="V73" i="2" s="1"/>
  <c r="V10" i="2"/>
  <c r="V60" i="2"/>
  <c r="V61" i="2" s="1"/>
  <c r="V71" i="2" s="1"/>
  <c r="L65" i="2"/>
  <c r="L69" i="2" s="1"/>
  <c r="W8" i="2"/>
  <c r="W17" i="2" s="1"/>
  <c r="U69" i="2"/>
  <c r="U72" i="2"/>
  <c r="V72" i="2"/>
  <c r="H69" i="2"/>
  <c r="U60" i="2"/>
  <c r="U61" i="2" s="1"/>
  <c r="U71" i="2" s="1"/>
  <c r="M5" i="2"/>
  <c r="M16" i="2" s="1"/>
  <c r="V16" i="2"/>
  <c r="M9" i="2"/>
  <c r="Q29" i="2"/>
  <c r="P29" i="2"/>
  <c r="Q31" i="2"/>
  <c r="P31" i="2"/>
  <c r="Q21" i="2"/>
  <c r="P9" i="2"/>
  <c r="Q9" i="2"/>
  <c r="P5" i="2"/>
  <c r="P8" i="2" s="1"/>
  <c r="R21" i="2"/>
  <c r="Q5" i="2"/>
  <c r="Q16" i="2" s="1"/>
  <c r="AC6" i="2" l="1"/>
  <c r="U73" i="2"/>
  <c r="M8" i="2"/>
  <c r="M10" i="2" s="1"/>
  <c r="M12" i="2" s="1"/>
  <c r="V12" i="2"/>
  <c r="V75" i="2" s="1"/>
  <c r="V19" i="2"/>
  <c r="P16" i="2"/>
  <c r="P17" i="2"/>
  <c r="P10" i="2"/>
  <c r="Q8" i="2"/>
  <c r="AD6" i="2" l="1"/>
  <c r="AE6" i="2"/>
  <c r="AG6" i="2" s="1"/>
  <c r="AF6" i="2"/>
  <c r="M19" i="2"/>
  <c r="M17" i="2"/>
  <c r="V13" i="2"/>
  <c r="V74" i="2" s="1"/>
  <c r="V18" i="2"/>
  <c r="M18" i="2"/>
  <c r="P12" i="2"/>
  <c r="P18" i="2" s="1"/>
  <c r="P19" i="2"/>
  <c r="Q17" i="2"/>
  <c r="Q10" i="2"/>
  <c r="AH6" i="2" l="1"/>
  <c r="P13" i="2"/>
  <c r="Q12" i="2"/>
  <c r="Q13" i="2" s="1"/>
  <c r="Q19" i="2"/>
  <c r="AI6" i="2" l="1"/>
  <c r="AJ6" i="2"/>
  <c r="Q18" i="2"/>
  <c r="AK6" i="2" l="1"/>
  <c r="AL6" i="2" s="1"/>
  <c r="G14" i="2"/>
  <c r="I14" i="2"/>
  <c r="K14" i="2"/>
  <c r="M13" i="2"/>
  <c r="H21" i="2"/>
  <c r="J21" i="2"/>
  <c r="L21" i="2"/>
  <c r="S21" i="2"/>
  <c r="T21" i="2"/>
  <c r="U21" i="2"/>
  <c r="AO21" i="2"/>
  <c r="S25" i="2"/>
  <c r="S29" i="2" s="1"/>
  <c r="U25" i="2"/>
  <c r="U29" i="2" s="1"/>
  <c r="Y14" i="2" l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H50" i="2"/>
  <c r="H55" i="2" s="1"/>
  <c r="H58" i="2" s="1"/>
  <c r="H39" i="2"/>
  <c r="H44" i="2" s="1"/>
  <c r="H60" i="2" s="1"/>
  <c r="H61" i="2" s="1"/>
  <c r="H71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R9" i="2"/>
  <c r="R5" i="2"/>
  <c r="S9" i="2"/>
  <c r="S5" i="2"/>
  <c r="S16" i="2" s="1"/>
  <c r="K11" i="2"/>
  <c r="K9" i="2"/>
  <c r="K7" i="2"/>
  <c r="K6" i="2"/>
  <c r="K4" i="2"/>
  <c r="K3" i="2"/>
  <c r="T9" i="2"/>
  <c r="T5" i="2"/>
  <c r="T16" i="2" s="1"/>
  <c r="U5" i="2"/>
  <c r="L50" i="2"/>
  <c r="L55" i="2" s="1"/>
  <c r="L58" i="2" s="1"/>
  <c r="L39" i="2"/>
  <c r="L44" i="2" s="1"/>
  <c r="L60" i="2" s="1"/>
  <c r="L61" i="2" s="1"/>
  <c r="J5" i="2"/>
  <c r="J16" i="2" s="1"/>
  <c r="L5" i="2"/>
  <c r="L16" i="2" s="1"/>
  <c r="M21" i="2" l="1"/>
  <c r="I9" i="2"/>
  <c r="W9" i="2"/>
  <c r="W10" i="2" s="1"/>
  <c r="W12" i="2" s="1"/>
  <c r="W18" i="2" s="1"/>
  <c r="C33" i="1"/>
  <c r="L71" i="2"/>
  <c r="K5" i="2"/>
  <c r="K16" i="2" s="1"/>
  <c r="I5" i="2"/>
  <c r="I16" i="2" s="1"/>
  <c r="G9" i="2"/>
  <c r="H8" i="2"/>
  <c r="H16" i="2"/>
  <c r="U8" i="2"/>
  <c r="U17" i="2" s="1"/>
  <c r="U16" i="2"/>
  <c r="R8" i="2"/>
  <c r="R17" i="2" s="1"/>
  <c r="R16" i="2"/>
  <c r="G22" i="2"/>
  <c r="H22" i="2"/>
  <c r="K22" i="2"/>
  <c r="L22" i="2"/>
  <c r="K21" i="2"/>
  <c r="F8" i="2"/>
  <c r="F17" i="2" s="1"/>
  <c r="F16" i="2"/>
  <c r="I22" i="2"/>
  <c r="J22" i="2"/>
  <c r="I21" i="2"/>
  <c r="G5" i="2"/>
  <c r="G16" i="2" s="1"/>
  <c r="L8" i="2"/>
  <c r="L17" i="2" s="1"/>
  <c r="T8" i="2"/>
  <c r="T17" i="2" s="1"/>
  <c r="J8" i="2"/>
  <c r="J17" i="2" s="1"/>
  <c r="S8" i="2"/>
  <c r="S17" i="2" s="1"/>
  <c r="W13" i="2" l="1"/>
  <c r="W11" i="2"/>
  <c r="I8" i="2"/>
  <c r="I10" i="2" s="1"/>
  <c r="K8" i="2"/>
  <c r="K17" i="2" s="1"/>
  <c r="F10" i="2"/>
  <c r="H10" i="2"/>
  <c r="H17" i="2"/>
  <c r="U10" i="2"/>
  <c r="R10" i="2"/>
  <c r="J10" i="2"/>
  <c r="G8" i="2"/>
  <c r="G17" i="2" s="1"/>
  <c r="S10" i="2"/>
  <c r="S19" i="2" s="1"/>
  <c r="L10" i="2"/>
  <c r="T10" i="2"/>
  <c r="K10" i="2" l="1"/>
  <c r="K19" i="2" s="1"/>
  <c r="I17" i="2"/>
  <c r="X4" i="2"/>
  <c r="X5" i="2" s="1"/>
  <c r="F12" i="2"/>
  <c r="F18" i="2" s="1"/>
  <c r="F19" i="2"/>
  <c r="U12" i="2"/>
  <c r="U19" i="2"/>
  <c r="R12" i="2"/>
  <c r="R19" i="2"/>
  <c r="H12" i="2"/>
  <c r="H13" i="2" s="1"/>
  <c r="H19" i="2"/>
  <c r="K12" i="2"/>
  <c r="K18" i="2" s="1"/>
  <c r="T12" i="2"/>
  <c r="T18" i="2" s="1"/>
  <c r="T19" i="2"/>
  <c r="I12" i="2"/>
  <c r="I18" i="2" s="1"/>
  <c r="I19" i="2"/>
  <c r="L12" i="2"/>
  <c r="L18" i="2" s="1"/>
  <c r="L19" i="2"/>
  <c r="J12" i="2"/>
  <c r="J18" i="2" s="1"/>
  <c r="J19" i="2"/>
  <c r="S12" i="2"/>
  <c r="S18" i="2" s="1"/>
  <c r="G10" i="2"/>
  <c r="G19" i="2" s="1"/>
  <c r="C8" i="1"/>
  <c r="C34" i="1" s="1"/>
  <c r="C11" i="1"/>
  <c r="AO18" i="2" s="1"/>
  <c r="X16" i="2" l="1"/>
  <c r="X7" i="2"/>
  <c r="U18" i="2"/>
  <c r="U75" i="2"/>
  <c r="F13" i="2"/>
  <c r="J13" i="2"/>
  <c r="H18" i="2"/>
  <c r="U13" i="2"/>
  <c r="Y4" i="2"/>
  <c r="Y5" i="2" s="1"/>
  <c r="K13" i="2"/>
  <c r="R18" i="2"/>
  <c r="R13" i="2"/>
  <c r="I13" i="2"/>
  <c r="T13" i="2"/>
  <c r="L13" i="2"/>
  <c r="G12" i="2"/>
  <c r="G18" i="2" s="1"/>
  <c r="S13" i="2"/>
  <c r="C12" i="1"/>
  <c r="Y16" i="2" l="1"/>
  <c r="Y7" i="2"/>
  <c r="C35" i="1"/>
  <c r="U74" i="2"/>
  <c r="Z4" i="2"/>
  <c r="Z5" i="2" s="1"/>
  <c r="G13" i="2"/>
  <c r="Z16" i="2" l="1"/>
  <c r="Z7" i="2"/>
  <c r="AA4" i="2"/>
  <c r="AA5" i="2" s="1"/>
  <c r="AA16" i="2" l="1"/>
  <c r="AA7" i="2"/>
  <c r="AB4" i="2"/>
  <c r="AB5" i="2" s="1"/>
  <c r="X8" i="2"/>
  <c r="X17" i="2" s="1"/>
  <c r="AB16" i="2" l="1"/>
  <c r="AB7" i="2"/>
  <c r="X10" i="2"/>
  <c r="AC4" i="2"/>
  <c r="AC5" i="2" s="1"/>
  <c r="Y8" i="2"/>
  <c r="Y17" i="2" s="1"/>
  <c r="AC16" i="2" l="1"/>
  <c r="AC7" i="2"/>
  <c r="X12" i="2"/>
  <c r="X13" i="2" s="1"/>
  <c r="AD4" i="2"/>
  <c r="AD5" i="2" s="1"/>
  <c r="Z8" i="2"/>
  <c r="Z17" i="2" s="1"/>
  <c r="Y10" i="2"/>
  <c r="AD16" i="2" l="1"/>
  <c r="AD7" i="2"/>
  <c r="X18" i="2"/>
  <c r="AE4" i="2"/>
  <c r="AE5" i="2" s="1"/>
  <c r="Z10" i="2"/>
  <c r="Y12" i="2"/>
  <c r="AA8" i="2"/>
  <c r="AA17" i="2" s="1"/>
  <c r="AE16" i="2" l="1"/>
  <c r="AE7" i="2"/>
  <c r="AF4" i="2"/>
  <c r="AF5" i="2"/>
  <c r="Y13" i="2"/>
  <c r="Y18" i="2"/>
  <c r="AA10" i="2"/>
  <c r="AB8" i="2"/>
  <c r="AB17" i="2" s="1"/>
  <c r="Z12" i="2"/>
  <c r="AF16" i="2" l="1"/>
  <c r="AF7" i="2"/>
  <c r="AG4" i="2"/>
  <c r="AG5" i="2" s="1"/>
  <c r="Z13" i="2"/>
  <c r="Z18" i="2"/>
  <c r="AB10" i="2"/>
  <c r="AC8" i="2"/>
  <c r="AC17" i="2" s="1"/>
  <c r="AA12" i="2"/>
  <c r="AG16" i="2" l="1"/>
  <c r="AG7" i="2"/>
  <c r="AH4" i="2"/>
  <c r="AH5" i="2" s="1"/>
  <c r="AA13" i="2"/>
  <c r="AA18" i="2"/>
  <c r="AD8" i="2"/>
  <c r="AD17" i="2" s="1"/>
  <c r="AC10" i="2"/>
  <c r="AB12" i="2"/>
  <c r="AH16" i="2" l="1"/>
  <c r="AH7" i="2"/>
  <c r="AI4" i="2"/>
  <c r="AI5" i="2" s="1"/>
  <c r="AD10" i="2"/>
  <c r="AB13" i="2"/>
  <c r="AB18" i="2"/>
  <c r="AC12" i="2"/>
  <c r="AE8" i="2"/>
  <c r="AE17" i="2" s="1"/>
  <c r="AI16" i="2" l="1"/>
  <c r="AI7" i="2"/>
  <c r="AJ4" i="2"/>
  <c r="AJ5" i="2" s="1"/>
  <c r="AE10" i="2"/>
  <c r="AF8" i="2"/>
  <c r="AF17" i="2" s="1"/>
  <c r="AC13" i="2"/>
  <c r="AC18" i="2"/>
  <c r="AD12" i="2"/>
  <c r="AJ16" i="2" l="1"/>
  <c r="AJ7" i="2"/>
  <c r="AK4" i="2"/>
  <c r="AK5" i="2"/>
  <c r="AF10" i="2"/>
  <c r="AD13" i="2"/>
  <c r="AD18" i="2"/>
  <c r="AG8" i="2"/>
  <c r="AG17" i="2" s="1"/>
  <c r="AE12" i="2"/>
  <c r="AK16" i="2" l="1"/>
  <c r="AK7" i="2"/>
  <c r="AL4" i="2"/>
  <c r="AL5" i="2" s="1"/>
  <c r="AG10" i="2"/>
  <c r="AH8" i="2"/>
  <c r="AH17" i="2" s="1"/>
  <c r="AE13" i="2"/>
  <c r="AE18" i="2"/>
  <c r="AF12" i="2"/>
  <c r="AL16" i="2" l="1"/>
  <c r="AL7" i="2"/>
  <c r="AF13" i="2"/>
  <c r="AF18" i="2"/>
  <c r="AH10" i="2"/>
  <c r="AI8" i="2"/>
  <c r="AI17" i="2" s="1"/>
  <c r="AG12" i="2"/>
  <c r="AG13" i="2" l="1"/>
  <c r="AG18" i="2"/>
  <c r="AI10" i="2"/>
  <c r="AJ8" i="2"/>
  <c r="AJ17" i="2" s="1"/>
  <c r="AH12" i="2"/>
  <c r="AJ10" i="2" l="1"/>
  <c r="AL8" i="2"/>
  <c r="AL17" i="2" s="1"/>
  <c r="AK8" i="2"/>
  <c r="AK17" i="2" s="1"/>
  <c r="AH13" i="2"/>
  <c r="AH18" i="2"/>
  <c r="AI12" i="2"/>
  <c r="AI13" i="2" l="1"/>
  <c r="AI18" i="2"/>
  <c r="AK10" i="2"/>
  <c r="AL10" i="2"/>
  <c r="AJ12" i="2"/>
  <c r="AJ13" i="2" l="1"/>
  <c r="AJ18" i="2"/>
  <c r="AL12" i="2"/>
  <c r="AK12" i="2"/>
  <c r="AK13" i="2" l="1"/>
  <c r="AK18" i="2"/>
  <c r="AL13" i="2"/>
  <c r="AM12" i="2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AO17" i="2" s="1"/>
  <c r="AO19" i="2" s="1"/>
  <c r="AO20" i="2" s="1"/>
  <c r="AO22" i="2" s="1"/>
  <c r="AL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S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S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<sst xmlns="http://schemas.openxmlformats.org/spreadsheetml/2006/main" count="211" uniqueCount="146">
  <si>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</si>
  <si>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</si>
  <si>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</si>
  <si>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</si>
  <si>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</si>
  <si>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</si>
  <si>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</si>
  <si>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</si>
  <si>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</si>
  <si>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</si>
  <si>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</si>
  <si>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</si>
  <si>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</si>
  <si>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</si>
  <si>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</si>
  <si>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</si>
  <si>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</si>
  <si>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</si>
  <si>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</si>
  <si>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</si>
  <si>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</si>
  <si>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</si>
  <si>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</si>
  <si>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</si>
  <si>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</si>
  <si>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</si>
  <si>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</si>
  <si>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</si>
  <si>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</si>
  <si>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</si>
  <si>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2015?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</si>
  <si>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</si>
  <si>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</si>
  <si>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</si>
  <si>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</si>
  <si>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</si>
  <si>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</si>
  <si>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</si>
  <si>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</si>
  <si>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</si>
  <si>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</si>
  <si>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</si>
  <si>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</si>
  <si>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</si>
  <si>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</si>
  <si>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</si>
  <si>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</si>
  <si>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</si>
  <si>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</si>
  <si>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</si>
  <si>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</si>
  <si>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</si>
  <si>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</si>
  <si>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</si>
  <si>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</si>
  <si>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</si>
  <si>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</si>
  <si>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</si>
  <si>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</si>
  <si>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</si>
  <si>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</si>
  <si>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</si>
  <si>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</si>
  <si>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</si>
  <si>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</si>
  <si>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</si>
  <si>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</si>
  <si>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</si>
  <si>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</si>
  <si>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</si>
  <si>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</si>
  <si>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</si>
  <si>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</si>
  <si>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</si>
  <si>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</si>
  <si>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</si>
  <si>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</si>
  <si>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</si>
  <si>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</si>
  <si>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</si>
  <si>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</si>
  <si>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</si>
  <si>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</si>
  <si>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</si>
  <si>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</si>
  <si>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</si>
  <si>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</si>
  <si>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</si>
  <si>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</si>
  <si>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</si>
  <si>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</si>
  <si>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</si>
  <si>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</si>
  <si>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</si>
  <si>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</si>
  <si>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</si>
  <si>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</si>
  <si>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</si>
  <si>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Metrics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</si>
  <si>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</si>
  <si>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</si>
  <si>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</si>
  <si>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</si>
  <si>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</si>
  <si>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</si>
  <si>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</si>
  <si>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</si>
  <si>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</si>
  <si>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</si>
  <si>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</si>
  <si>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</si>
  <si>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</si>
  <si>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</si>
  <si>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</si>
  <si>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</si>
  <si>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</si>
  <si>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</si>
  <si>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</si>
  <si>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</si>
  <si>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</si>
  <si>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</si>
  <si>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</si>
  <si>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</si>
  <si>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</si>
  <si>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</si>
  <si>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</si>
  <si>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</si>
  <si>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</si>
  <si>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</si>
  <si>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</si>
  <si>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</si>
  <si>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</si>
  <si>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</si>
  <si>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</si>
  <si>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</si>
  <si>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</si>
  <si>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</si>
  <si>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</si>
  <si>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</si>
  <si>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</si>
  <si>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</si>
  <si>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</si>
  <si>
    <t>Share Price</t>
  </si>
  <si>
    <t>EV/S</t>
  </si>
  <si>
    <t>EV/E</t>
  </si>
  <si>
    <t>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</si>
</sst>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69" formatCode="0.000\x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i/>
      <sz val="8"/>
      <color theme="1" tint="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4" fillId="6" borderId="0" xfId="0" applyNumberFormat="1" applyFont="1" applyFill="1"/>
    <xf numFmtId="9" fontId="2" fillId="6" borderId="0" xfId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9" fontId="1" fillId="4" borderId="8" xfId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168" fontId="2" fillId="0" borderId="0" xfId="0" applyNumberFormat="1" applyFont="1"/>
    <xf numFmtId="168" fontId="2" fillId="5" borderId="0" xfId="0" applyNumberFormat="1" applyFont="1" applyFill="1"/>
    <xf numFmtId="169" fontId="4" fillId="0" borderId="0" xfId="0" applyNumberFormat="1" applyFont="1"/>
    <xf numFmtId="169" fontId="2" fillId="0" borderId="0" xfId="0" applyNumberFormat="1" applyFont="1"/>
    <xf numFmtId="169" fontId="2" fillId="5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69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69" fontId="2" fillId="9" borderId="0" xfId="0" applyNumberFormat="1" applyFont="1" applyFill="1"/>
    <xf numFmtId="0" fontId="15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4" fontId="15" fillId="6" borderId="0" xfId="0" applyNumberFormat="1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9" fontId="6" fillId="6" borderId="0" xfId="1" applyFont="1" applyFill="1"/>
    <xf numFmtId="0" fontId="6" fillId="6" borderId="0" xfId="0" applyFont="1" applyFill="1" applyAlignment="1">
      <alignment horizontal="right"/>
    </xf>
    <xf numFmtId="1" fontId="6" fillId="6" borderId="0" xfId="1" applyNumberFormat="1" applyFont="1" applyFill="1"/>
    <xf numFmtId="165" fontId="15" fillId="6" borderId="0" xfId="0" applyNumberFormat="1" applyFont="1" applyFill="1"/>
    <xf numFmtId="1" fontId="15" fillId="6" borderId="0" xfId="1" applyNumberFormat="1" applyFont="1" applyFill="1"/>
    <xf numFmtId="168" fontId="6" fillId="6" borderId="0" xfId="0" applyNumberFormat="1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6350</xdr:colOff>
      <xdr:row>0</xdr:row>
      <xdr:rowOff>19050</xdr:rowOff>
    </xdr:from>
    <xdr:to>
      <xdr:col>22</xdr:col>
      <xdr:colOff>6350</xdr:colOff>
      <xdr:row>83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6681450" y="19050"/>
          <a:ext cx="0" cy="13620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9525</xdr:rowOff>
    </xdr:from>
    <xdr:to>
      <xdr:col>13</xdr:col>
      <xdr:colOff>0</xdr:colOff>
      <xdr:row>84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9690100" y="9525"/>
          <a:ext cx="0" cy="13719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25">
          <cell r="C25">
            <v>47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tabSelected="1" workbookViewId="0">
      <selection activeCell="L8" sqref="L8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</row>
    <row r="3" spans="2:21" x14ac:dyDescent="0.2">
      <c r="B3" s="3" t="s">
        <v>1</v>
      </c>
    </row>
    <row r="5" spans="2:21" x14ac:dyDescent="0.2">
      <c r="B5" s="143" t="s">
        <v>2</v>
      </c>
      <c r="C5" s="144"/>
      <c r="D5" s="145"/>
      <c r="H5" s="143" t="s">
        <v>103</v>
      </c>
      <c r="I5" s="144"/>
      <c r="J5" s="144"/>
      <c r="K5" s="144"/>
      <c r="L5" s="145"/>
      <c r="O5" s="143" t="s">
        <v>69</v>
      </c>
      <c r="P5" s="144"/>
      <c r="Q5" s="144"/>
      <c r="R5" s="144"/>
      <c r="S5" s="144"/>
      <c r="T5" s="144"/>
      <c r="U5" s="145"/>
    </row>
    <row r="6" spans="2:21" x14ac:dyDescent="0.2">
      <c r="B6" s="4" t="s">
        <v>3</v>
      </c>
      <c r="C6" s="26">
        <v>2.3650000000000002</v>
      </c>
      <c r="D6" s="39"/>
      <c r="H6" s="154" t="s">
        <v>105</v>
      </c>
      <c r="I6" s="155"/>
      <c r="J6" s="155"/>
      <c r="K6" s="155"/>
      <c r="L6" s="58" t="s">
        <v>104</v>
      </c>
      <c r="O6" s="92">
        <v>44866</v>
      </c>
      <c r="P6" s="93" t="s">
        <v>140</v>
      </c>
      <c r="Q6" s="6"/>
      <c r="R6" s="6"/>
      <c r="S6" s="6"/>
      <c r="T6" s="6"/>
      <c r="U6" s="7"/>
    </row>
    <row r="7" spans="2:21" x14ac:dyDescent="0.2">
      <c r="B7" s="4" t="s">
        <v>4</v>
      </c>
      <c r="C7" s="14">
        <f>'Financial Model'!V14</f>
        <v>170.949286</v>
      </c>
      <c r="D7" s="39" t="str">
        <f>$C$28</f>
        <v>FY22</v>
      </c>
      <c r="H7" s="156" t="s">
        <v>102</v>
      </c>
      <c r="I7" s="157"/>
      <c r="J7" s="157"/>
      <c r="K7" s="157"/>
      <c r="L7" s="59">
        <f>[1]Main!$C$25</f>
        <v>47</v>
      </c>
      <c r="O7" s="17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404.29506139000006</v>
      </c>
      <c r="D8" s="39"/>
      <c r="H8" s="158" t="s">
        <v>106</v>
      </c>
      <c r="I8" s="152"/>
      <c r="J8" s="152"/>
      <c r="K8" s="152"/>
      <c r="L8" s="59">
        <v>11</v>
      </c>
      <c r="O8" s="17"/>
      <c r="P8" s="6"/>
      <c r="Q8" s="6"/>
      <c r="R8" s="6"/>
      <c r="S8" s="6"/>
      <c r="T8" s="6"/>
      <c r="U8" s="7"/>
    </row>
    <row r="9" spans="2:21" x14ac:dyDescent="0.2">
      <c r="B9" s="4" t="s">
        <v>6</v>
      </c>
      <c r="C9" s="14">
        <f>'Financial Model'!V63</f>
        <v>56.066000000000003</v>
      </c>
      <c r="D9" s="39" t="str">
        <f t="shared" ref="D9:D11" si="0">$C$28</f>
        <v>FY22</v>
      </c>
      <c r="H9" s="158" t="s">
        <v>107</v>
      </c>
      <c r="I9" s="152"/>
      <c r="J9" s="152"/>
      <c r="K9" s="152"/>
      <c r="L9" s="59">
        <v>6</v>
      </c>
      <c r="O9" s="17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f>'Financial Model'!V64</f>
        <v>0</v>
      </c>
      <c r="D10" s="39" t="str">
        <f t="shared" si="0"/>
        <v>FY22</v>
      </c>
      <c r="H10" s="158" t="s">
        <v>108</v>
      </c>
      <c r="I10" s="152"/>
      <c r="J10" s="152"/>
      <c r="K10" s="152"/>
      <c r="L10" s="59">
        <v>7</v>
      </c>
      <c r="O10" s="17"/>
      <c r="P10" s="6"/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56.066000000000003</v>
      </c>
      <c r="D11" s="39" t="str">
        <f t="shared" si="0"/>
        <v>FY22</v>
      </c>
      <c r="H11" s="158" t="s">
        <v>109</v>
      </c>
      <c r="I11" s="152"/>
      <c r="J11" s="152"/>
      <c r="K11" s="152"/>
      <c r="L11" s="59">
        <v>6</v>
      </c>
      <c r="O11" s="17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348.22906139000008</v>
      </c>
      <c r="D12" s="40"/>
      <c r="H12" s="159" t="s">
        <v>110</v>
      </c>
      <c r="I12" s="150"/>
      <c r="J12" s="150"/>
      <c r="K12" s="150"/>
      <c r="L12" s="60">
        <v>174</v>
      </c>
      <c r="O12" s="17"/>
      <c r="P12" s="6"/>
      <c r="Q12" s="6"/>
      <c r="R12" s="6"/>
      <c r="S12" s="6"/>
      <c r="T12" s="6"/>
      <c r="U12" s="7"/>
    </row>
    <row r="13" spans="2:21" x14ac:dyDescent="0.2">
      <c r="H13" s="57"/>
      <c r="I13" s="57"/>
      <c r="J13" s="57"/>
      <c r="O13" s="17"/>
      <c r="P13" s="6"/>
      <c r="Q13" s="6"/>
      <c r="R13" s="6"/>
      <c r="S13" s="6"/>
      <c r="T13" s="6"/>
      <c r="U13" s="7"/>
    </row>
    <row r="14" spans="2:21" x14ac:dyDescent="0.2">
      <c r="O14" s="18"/>
      <c r="P14" s="8"/>
      <c r="Q14" s="8"/>
      <c r="R14" s="8"/>
      <c r="S14" s="8"/>
      <c r="T14" s="8"/>
      <c r="U14" s="9"/>
    </row>
    <row r="15" spans="2:21" x14ac:dyDescent="0.2">
      <c r="B15" s="143" t="s">
        <v>10</v>
      </c>
      <c r="C15" s="144"/>
      <c r="D15" s="145"/>
    </row>
    <row r="16" spans="2:21" x14ac:dyDescent="0.2">
      <c r="B16" s="16" t="s">
        <v>11</v>
      </c>
      <c r="C16" s="152" t="s">
        <v>95</v>
      </c>
      <c r="D16" s="153"/>
    </row>
    <row r="17" spans="2:16" x14ac:dyDescent="0.2">
      <c r="B17" s="16" t="s">
        <v>96</v>
      </c>
      <c r="C17" s="152" t="s">
        <v>97</v>
      </c>
      <c r="D17" s="153"/>
      <c r="H17" s="143" t="s">
        <v>127</v>
      </c>
      <c r="I17" s="144"/>
      <c r="J17" s="144"/>
      <c r="K17" s="144"/>
      <c r="L17" s="145"/>
    </row>
    <row r="18" spans="2:16" x14ac:dyDescent="0.2">
      <c r="B18" s="16"/>
      <c r="C18" s="152"/>
      <c r="D18" s="153"/>
      <c r="H18" s="82" t="s">
        <v>121</v>
      </c>
      <c r="I18" s="83"/>
      <c r="J18" s="83"/>
      <c r="K18" s="6"/>
      <c r="L18" s="7"/>
    </row>
    <row r="19" spans="2:16" x14ac:dyDescent="0.2">
      <c r="B19" s="50"/>
      <c r="C19" s="150"/>
      <c r="D19" s="151"/>
      <c r="H19" s="86" t="s">
        <v>122</v>
      </c>
      <c r="I19" s="83"/>
      <c r="J19" s="83"/>
      <c r="K19" s="6"/>
      <c r="L19" s="7"/>
    </row>
    <row r="20" spans="2:16" x14ac:dyDescent="0.2">
      <c r="H20" s="86"/>
      <c r="I20" s="83"/>
      <c r="J20" s="83"/>
      <c r="K20" s="6"/>
      <c r="L20" s="7"/>
      <c r="P20" s="89" t="s">
        <v>132</v>
      </c>
    </row>
    <row r="21" spans="2:16" x14ac:dyDescent="0.2">
      <c r="H21" s="82" t="s">
        <v>123</v>
      </c>
      <c r="I21" s="83"/>
      <c r="J21" s="83"/>
      <c r="K21" s="6"/>
      <c r="L21" s="7"/>
      <c r="P21" s="89" t="s">
        <v>131</v>
      </c>
    </row>
    <row r="22" spans="2:16" x14ac:dyDescent="0.2">
      <c r="B22" s="143" t="s">
        <v>26</v>
      </c>
      <c r="C22" s="144"/>
      <c r="D22" s="145"/>
      <c r="H22" s="86" t="s">
        <v>124</v>
      </c>
      <c r="I22" s="83"/>
      <c r="J22" s="83"/>
      <c r="K22" s="6"/>
      <c r="L22" s="7"/>
    </row>
    <row r="23" spans="2:16" x14ac:dyDescent="0.2">
      <c r="B23" s="17" t="s">
        <v>27</v>
      </c>
      <c r="C23" s="152" t="s">
        <v>29</v>
      </c>
      <c r="D23" s="153"/>
      <c r="H23" s="87" t="s">
        <v>130</v>
      </c>
      <c r="I23" s="83"/>
      <c r="J23" s="83"/>
      <c r="K23" s="6"/>
      <c r="L23" s="7"/>
    </row>
    <row r="24" spans="2:16" x14ac:dyDescent="0.2">
      <c r="B24" s="17" t="s">
        <v>28</v>
      </c>
      <c r="C24" s="152" t="s">
        <v>30</v>
      </c>
      <c r="D24" s="153"/>
      <c r="H24" s="82"/>
      <c r="I24" s="83"/>
      <c r="J24" s="83"/>
      <c r="K24" s="6"/>
      <c r="L24" s="7"/>
    </row>
    <row r="25" spans="2:16" x14ac:dyDescent="0.2">
      <c r="B25" s="17" t="s">
        <v>33</v>
      </c>
      <c r="C25" s="152">
        <v>64</v>
      </c>
      <c r="D25" s="153"/>
      <c r="H25" s="82"/>
      <c r="I25" s="83"/>
      <c r="J25" s="83"/>
      <c r="K25" s="6"/>
      <c r="L25" s="7"/>
    </row>
    <row r="26" spans="2:16" x14ac:dyDescent="0.2">
      <c r="B26" s="17" t="s">
        <v>116</v>
      </c>
      <c r="C26" s="152"/>
      <c r="D26" s="153"/>
      <c r="H26" s="84"/>
      <c r="I26" s="85"/>
      <c r="J26" s="85"/>
      <c r="K26" s="8"/>
      <c r="L26" s="9"/>
    </row>
    <row r="27" spans="2:16" x14ac:dyDescent="0.2">
      <c r="B27" s="17" t="s">
        <v>120</v>
      </c>
      <c r="C27" s="152">
        <v>2016</v>
      </c>
      <c r="D27" s="153"/>
    </row>
    <row r="28" spans="2:16" x14ac:dyDescent="0.2">
      <c r="B28" s="17" t="s">
        <v>141</v>
      </c>
      <c r="C28" s="90" t="s">
        <v>23</v>
      </c>
      <c r="D28" s="99">
        <v>44911</v>
      </c>
    </row>
    <row r="29" spans="2:16" x14ac:dyDescent="0.2">
      <c r="B29" s="18" t="s">
        <v>31</v>
      </c>
      <c r="C29" s="148" t="s">
        <v>32</v>
      </c>
      <c r="D29" s="149"/>
      <c r="H29" s="143" t="s">
        <v>128</v>
      </c>
      <c r="I29" s="144"/>
      <c r="J29" s="144"/>
      <c r="K29" s="144"/>
      <c r="L29" s="145"/>
    </row>
    <row r="30" spans="2:16" x14ac:dyDescent="0.2">
      <c r="H30" s="82" t="s">
        <v>121</v>
      </c>
      <c r="I30" s="83"/>
      <c r="J30" s="83"/>
      <c r="K30" s="6"/>
      <c r="L30" s="7"/>
    </row>
    <row r="31" spans="2:16" x14ac:dyDescent="0.2">
      <c r="H31" s="86" t="s">
        <v>125</v>
      </c>
      <c r="I31" s="83"/>
      <c r="J31" s="83"/>
      <c r="K31" s="6"/>
      <c r="L31" s="7"/>
    </row>
    <row r="32" spans="2:16" x14ac:dyDescent="0.2">
      <c r="B32" s="143" t="s">
        <v>135</v>
      </c>
      <c r="C32" s="144"/>
      <c r="D32" s="145"/>
      <c r="H32" s="86" t="s">
        <v>126</v>
      </c>
      <c r="I32" s="83"/>
      <c r="J32" s="83"/>
      <c r="K32" s="6"/>
      <c r="L32" s="7"/>
    </row>
    <row r="33" spans="2:12" x14ac:dyDescent="0.2">
      <c r="B33" s="17" t="s">
        <v>136</v>
      </c>
      <c r="C33" s="146">
        <f>C6/'Financial Model'!L61</f>
        <v>3.0577866054115437</v>
      </c>
      <c r="D33" s="147"/>
      <c r="H33" s="86"/>
      <c r="I33" s="83"/>
      <c r="J33" s="83"/>
      <c r="K33" s="6"/>
      <c r="L33" s="7"/>
    </row>
    <row r="34" spans="2:12" x14ac:dyDescent="0.2">
      <c r="B34" s="17" t="s">
        <v>137</v>
      </c>
      <c r="C34" s="146">
        <f>C8/'Financial Model'!U3</f>
        <v>5.6247399954088877</v>
      </c>
      <c r="D34" s="147"/>
      <c r="H34" s="82" t="s">
        <v>123</v>
      </c>
      <c r="I34" s="83"/>
      <c r="J34" s="83"/>
      <c r="K34" s="6"/>
      <c r="L34" s="7"/>
    </row>
    <row r="35" spans="2:12" x14ac:dyDescent="0.2">
      <c r="B35" s="17" t="s">
        <v>138</v>
      </c>
      <c r="C35" s="146">
        <f>C6/('Financial Model'!U13*100)</f>
        <v>2.2528786210358729</v>
      </c>
      <c r="D35" s="147"/>
      <c r="H35" s="86" t="s">
        <v>129</v>
      </c>
      <c r="I35" s="83"/>
      <c r="J35" s="83"/>
      <c r="K35" s="6"/>
      <c r="L35" s="7"/>
    </row>
    <row r="36" spans="2:12" x14ac:dyDescent="0.2">
      <c r="B36" s="17"/>
      <c r="C36" s="90"/>
      <c r="D36" s="91"/>
      <c r="H36" s="82"/>
      <c r="I36" s="83"/>
      <c r="J36" s="83"/>
      <c r="K36" s="6"/>
      <c r="L36" s="7"/>
    </row>
    <row r="37" spans="2:12" x14ac:dyDescent="0.2">
      <c r="B37" s="17"/>
      <c r="C37" s="90"/>
      <c r="D37" s="91"/>
      <c r="H37" s="82"/>
      <c r="I37" s="83"/>
      <c r="J37" s="83"/>
      <c r="K37" s="6"/>
      <c r="L37" s="7"/>
    </row>
    <row r="38" spans="2:12" x14ac:dyDescent="0.2">
      <c r="H38" s="84"/>
      <c r="I38" s="85"/>
      <c r="J38" s="85"/>
      <c r="K38" s="8"/>
      <c r="L38" s="9"/>
    </row>
  </sheetData>
  <mergeCells count="28">
    <mergeCell ref="C26:D26"/>
    <mergeCell ref="C27:D27"/>
    <mergeCell ref="C25:D25"/>
    <mergeCell ref="B5:D5"/>
    <mergeCell ref="B15:D15"/>
    <mergeCell ref="C16:D16"/>
    <mergeCell ref="C17:D17"/>
    <mergeCell ref="C18:D18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B32:D32"/>
    <mergeCell ref="C33:D33"/>
    <mergeCell ref="C34:D34"/>
    <mergeCell ref="C35:D35"/>
    <mergeCell ref="H29:L29"/>
    <mergeCell ref="C29:D29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6" r:id="rId3" xr:uid="{D95A0780-5F95-45A9-AA92-44BF55CFDC51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R8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12" sqref="P12:S12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5"/>
    <col min="6" max="6" width="9.140625" style="1"/>
    <col min="7" max="7" width="9.140625" style="25"/>
    <col min="8" max="8" width="9.140625" style="1"/>
    <col min="9" max="9" width="9.140625" style="25"/>
    <col min="10" max="10" width="9.140625" style="1"/>
    <col min="11" max="11" width="9.140625" style="25"/>
    <col min="12" max="12" width="9.140625" style="1"/>
    <col min="13" max="13" width="9.140625" style="25"/>
    <col min="14" max="22" width="9.140625" style="1"/>
    <col min="23" max="23" width="9.140625" style="79"/>
    <col min="24" max="39" width="9.140625" style="1"/>
    <col min="40" max="40" width="15.7109375" style="1" bestFit="1" customWidth="1"/>
    <col min="41" max="16384" width="9.140625" style="1"/>
  </cols>
  <sheetData>
    <row r="1" spans="1:96" s="10" customFormat="1" x14ac:dyDescent="0.2">
      <c r="D1" s="10" t="s">
        <v>115</v>
      </c>
      <c r="E1" s="24" t="s">
        <v>113</v>
      </c>
      <c r="F1" s="10" t="s">
        <v>13</v>
      </c>
      <c r="G1" s="24" t="s">
        <v>114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P1" s="10" t="s">
        <v>71</v>
      </c>
      <c r="Q1" s="28" t="s">
        <v>70</v>
      </c>
      <c r="R1" s="10" t="s">
        <v>25</v>
      </c>
      <c r="S1" s="28" t="s">
        <v>20</v>
      </c>
      <c r="T1" s="10" t="s">
        <v>21</v>
      </c>
      <c r="U1" s="28" t="s">
        <v>22</v>
      </c>
      <c r="V1" s="28" t="s">
        <v>23</v>
      </c>
      <c r="W1" s="132" t="s">
        <v>24</v>
      </c>
      <c r="X1" s="10" t="s">
        <v>73</v>
      </c>
      <c r="Y1" s="10" t="s">
        <v>74</v>
      </c>
      <c r="Z1" s="10" t="s">
        <v>75</v>
      </c>
      <c r="AA1" s="10" t="s">
        <v>76</v>
      </c>
      <c r="AB1" s="10" t="s">
        <v>77</v>
      </c>
      <c r="AC1" s="10" t="s">
        <v>78</v>
      </c>
      <c r="AD1" s="10" t="s">
        <v>79</v>
      </c>
      <c r="AE1" s="10" t="s">
        <v>80</v>
      </c>
      <c r="AF1" s="10" t="s">
        <v>81</v>
      </c>
      <c r="AG1" s="10" t="s">
        <v>82</v>
      </c>
      <c r="AH1" s="10" t="s">
        <v>83</v>
      </c>
      <c r="AI1" s="10" t="s">
        <v>84</v>
      </c>
      <c r="AJ1" s="10" t="s">
        <v>85</v>
      </c>
      <c r="AK1" s="10" t="s">
        <v>86</v>
      </c>
      <c r="AL1" s="10" t="s">
        <v>87</v>
      </c>
    </row>
    <row r="2" spans="1:96" s="21" customFormat="1" x14ac:dyDescent="0.2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P2" s="22">
        <v>42643</v>
      </c>
      <c r="Q2" s="22">
        <v>43008</v>
      </c>
      <c r="R2" s="22">
        <v>43373</v>
      </c>
      <c r="S2" s="22">
        <v>43738</v>
      </c>
      <c r="T2" s="22">
        <v>44104</v>
      </c>
      <c r="U2" s="22">
        <v>44469</v>
      </c>
      <c r="V2" s="22">
        <v>44834</v>
      </c>
      <c r="W2" s="133" t="s">
        <v>68</v>
      </c>
      <c r="X2" s="21" t="s">
        <v>68</v>
      </c>
      <c r="Y2" s="21" t="s">
        <v>68</v>
      </c>
      <c r="Z2" s="21" t="s">
        <v>68</v>
      </c>
      <c r="AA2" s="21" t="s">
        <v>68</v>
      </c>
      <c r="AB2" s="21" t="s">
        <v>68</v>
      </c>
      <c r="AC2" s="21" t="s">
        <v>68</v>
      </c>
      <c r="AD2" s="21" t="s">
        <v>68</v>
      </c>
      <c r="AE2" s="21" t="s">
        <v>68</v>
      </c>
      <c r="AF2" s="21" t="s">
        <v>68</v>
      </c>
      <c r="AG2" s="21" t="s">
        <v>68</v>
      </c>
      <c r="AH2" s="21" t="s">
        <v>68</v>
      </c>
      <c r="AI2" s="21" t="s">
        <v>68</v>
      </c>
      <c r="AJ2" s="21" t="s">
        <v>68</v>
      </c>
      <c r="AK2" s="21" t="s">
        <v>68</v>
      </c>
      <c r="AL2" s="21" t="s">
        <v>68</v>
      </c>
    </row>
    <row r="3" spans="1:96" s="3" customFormat="1" x14ac:dyDescent="0.2">
      <c r="A3" s="11"/>
      <c r="B3" s="3" t="s">
        <v>12</v>
      </c>
      <c r="E3" s="30"/>
      <c r="F3" s="12">
        <v>66.989999999999995</v>
      </c>
      <c r="G3" s="30">
        <f t="shared" ref="G3:G12" si="0">S3-F3</f>
        <v>62.904000000000011</v>
      </c>
      <c r="H3" s="36">
        <v>69.23</v>
      </c>
      <c r="I3" s="30">
        <f>T3-H3</f>
        <v>10.242999999999995</v>
      </c>
      <c r="J3" s="12">
        <v>10.433</v>
      </c>
      <c r="K3" s="30">
        <f>U3-J3</f>
        <v>61.445</v>
      </c>
      <c r="L3" s="12">
        <v>100.173</v>
      </c>
      <c r="M3" s="30">
        <f>V3-L3</f>
        <v>93.568000000000012</v>
      </c>
      <c r="P3" s="12">
        <v>104.803</v>
      </c>
      <c r="Q3" s="12">
        <v>113.968</v>
      </c>
      <c r="R3" s="12">
        <v>120.548</v>
      </c>
      <c r="S3" s="12">
        <v>129.89400000000001</v>
      </c>
      <c r="T3" s="12">
        <v>79.472999999999999</v>
      </c>
      <c r="U3" s="12">
        <v>71.878</v>
      </c>
      <c r="V3" s="12">
        <v>193.74100000000001</v>
      </c>
      <c r="W3" s="134">
        <f>V3*(1+W21)</f>
        <v>213.11510000000004</v>
      </c>
      <c r="X3" s="36">
        <f>W3*(1+X21)</f>
        <v>245.08236500000004</v>
      </c>
      <c r="Y3" s="36">
        <f t="shared" ref="Y3:AL3" si="1">X3*(1+Y21)</f>
        <v>294.09883800000006</v>
      </c>
      <c r="Z3" s="36">
        <f t="shared" si="1"/>
        <v>352.91860560000003</v>
      </c>
      <c r="AA3" s="36">
        <f t="shared" si="1"/>
        <v>405.85639644000003</v>
      </c>
      <c r="AB3" s="36">
        <f t="shared" si="1"/>
        <v>446.44203608400005</v>
      </c>
      <c r="AC3" s="36">
        <f t="shared" si="1"/>
        <v>491.08623969240011</v>
      </c>
      <c r="AD3" s="36">
        <f t="shared" si="1"/>
        <v>530.37313886779214</v>
      </c>
      <c r="AE3" s="36">
        <f t="shared" si="1"/>
        <v>556.89179581118174</v>
      </c>
      <c r="AF3" s="36">
        <f t="shared" si="1"/>
        <v>584.73638560174084</v>
      </c>
      <c r="AG3" s="36">
        <f t="shared" si="1"/>
        <v>596.43111331377565</v>
      </c>
      <c r="AH3" s="36">
        <f t="shared" si="1"/>
        <v>608.35973558005117</v>
      </c>
      <c r="AI3" s="36">
        <f t="shared" si="1"/>
        <v>620.52693029165221</v>
      </c>
      <c r="AJ3" s="36">
        <f t="shared" si="1"/>
        <v>632.93746889748525</v>
      </c>
      <c r="AK3" s="36">
        <f t="shared" si="1"/>
        <v>645.59621827543492</v>
      </c>
      <c r="AL3" s="36">
        <f t="shared" si="1"/>
        <v>658.50814264094367</v>
      </c>
    </row>
    <row r="4" spans="1:96" x14ac:dyDescent="0.2">
      <c r="A4" s="11"/>
      <c r="B4" s="1" t="s">
        <v>34</v>
      </c>
      <c r="E4" s="31"/>
      <c r="F4" s="14">
        <v>9.4740000000000002</v>
      </c>
      <c r="G4" s="31">
        <f t="shared" si="0"/>
        <v>9.0680000000000014</v>
      </c>
      <c r="H4" s="27">
        <v>9.9760000000000009</v>
      </c>
      <c r="I4" s="31">
        <f>T4-H4</f>
        <v>1.5669999999999984</v>
      </c>
      <c r="J4" s="14">
        <v>1.1919999999999999</v>
      </c>
      <c r="K4" s="31">
        <f>U4-J4</f>
        <v>9.0649999999999995</v>
      </c>
      <c r="L4" s="14">
        <v>13.641</v>
      </c>
      <c r="M4" s="31">
        <f>V4-L4</f>
        <v>15.750999999999999</v>
      </c>
      <c r="P4" s="14">
        <v>15.375999999999999</v>
      </c>
      <c r="Q4" s="14">
        <v>15.349</v>
      </c>
      <c r="R4" s="14">
        <v>16.748000000000001</v>
      </c>
      <c r="S4" s="14">
        <v>18.542000000000002</v>
      </c>
      <c r="T4" s="14">
        <v>11.542999999999999</v>
      </c>
      <c r="U4" s="14">
        <v>10.257</v>
      </c>
      <c r="V4" s="14">
        <v>29.391999999999999</v>
      </c>
      <c r="W4" s="135">
        <f>W3*0.14</f>
        <v>29.836114000000009</v>
      </c>
      <c r="X4" s="27">
        <f t="shared" ref="X4:AL4" si="2">X3*0.14</f>
        <v>34.31153110000001</v>
      </c>
      <c r="Y4" s="27">
        <f t="shared" si="2"/>
        <v>41.173837320000011</v>
      </c>
      <c r="Z4" s="27">
        <f t="shared" si="2"/>
        <v>49.408604784000012</v>
      </c>
      <c r="AA4" s="27">
        <f t="shared" si="2"/>
        <v>56.819895501600008</v>
      </c>
      <c r="AB4" s="27">
        <f t="shared" si="2"/>
        <v>62.501885051760013</v>
      </c>
      <c r="AC4" s="27">
        <f t="shared" si="2"/>
        <v>68.752073556936026</v>
      </c>
      <c r="AD4" s="27">
        <f t="shared" si="2"/>
        <v>74.2522394414909</v>
      </c>
      <c r="AE4" s="27">
        <f t="shared" si="2"/>
        <v>77.964851413565455</v>
      </c>
      <c r="AF4" s="27">
        <f t="shared" si="2"/>
        <v>81.863093984243719</v>
      </c>
      <c r="AG4" s="27">
        <f t="shared" si="2"/>
        <v>83.500355863928604</v>
      </c>
      <c r="AH4" s="27">
        <f t="shared" si="2"/>
        <v>85.170362981207177</v>
      </c>
      <c r="AI4" s="27">
        <f t="shared" si="2"/>
        <v>86.87377024083132</v>
      </c>
      <c r="AJ4" s="27">
        <f t="shared" si="2"/>
        <v>88.611245645647941</v>
      </c>
      <c r="AK4" s="27">
        <f t="shared" si="2"/>
        <v>90.383470558560902</v>
      </c>
      <c r="AL4" s="27">
        <f t="shared" si="2"/>
        <v>92.19113996973212</v>
      </c>
    </row>
    <row r="5" spans="1:96" s="3" customFormat="1" x14ac:dyDescent="0.2">
      <c r="A5" s="11"/>
      <c r="B5" s="3" t="s">
        <v>35</v>
      </c>
      <c r="E5" s="30"/>
      <c r="F5" s="12">
        <f>F3-F4</f>
        <v>57.515999999999991</v>
      </c>
      <c r="G5" s="30">
        <f t="shared" si="0"/>
        <v>53.836000000000013</v>
      </c>
      <c r="H5" s="36">
        <f t="shared" ref="H5:M5" si="3">H3-H4</f>
        <v>59.254000000000005</v>
      </c>
      <c r="I5" s="30">
        <f t="shared" si="3"/>
        <v>8.6759999999999966</v>
      </c>
      <c r="J5" s="12">
        <f t="shared" si="3"/>
        <v>9.2409999999999997</v>
      </c>
      <c r="K5" s="30">
        <f t="shared" si="3"/>
        <v>52.38</v>
      </c>
      <c r="L5" s="12">
        <f t="shared" si="3"/>
        <v>86.531999999999996</v>
      </c>
      <c r="M5" s="30">
        <f t="shared" si="3"/>
        <v>77.817000000000007</v>
      </c>
      <c r="P5" s="12">
        <f t="shared" ref="P5:V5" si="4">P3-P4</f>
        <v>89.426999999999992</v>
      </c>
      <c r="Q5" s="12">
        <f t="shared" si="4"/>
        <v>98.619</v>
      </c>
      <c r="R5" s="12">
        <f t="shared" si="4"/>
        <v>103.8</v>
      </c>
      <c r="S5" s="12">
        <f t="shared" si="4"/>
        <v>111.352</v>
      </c>
      <c r="T5" s="12">
        <f t="shared" si="4"/>
        <v>67.930000000000007</v>
      </c>
      <c r="U5" s="12">
        <f t="shared" si="4"/>
        <v>61.621000000000002</v>
      </c>
      <c r="V5" s="12">
        <f t="shared" si="4"/>
        <v>164.34900000000002</v>
      </c>
      <c r="W5" s="134">
        <f>W3-W4</f>
        <v>183.27898600000003</v>
      </c>
      <c r="X5" s="12">
        <f t="shared" ref="X5:AL5" si="5">X3-X4</f>
        <v>210.77083390000001</v>
      </c>
      <c r="Y5" s="12">
        <f t="shared" si="5"/>
        <v>252.92500068000004</v>
      </c>
      <c r="Z5" s="12">
        <f t="shared" si="5"/>
        <v>303.510000816</v>
      </c>
      <c r="AA5" s="12">
        <f t="shared" si="5"/>
        <v>349.03650093840002</v>
      </c>
      <c r="AB5" s="12">
        <f t="shared" si="5"/>
        <v>383.94015103224001</v>
      </c>
      <c r="AC5" s="12">
        <f t="shared" si="5"/>
        <v>422.3341661354641</v>
      </c>
      <c r="AD5" s="12">
        <f t="shared" si="5"/>
        <v>456.12089942630121</v>
      </c>
      <c r="AE5" s="12">
        <f t="shared" si="5"/>
        <v>478.9269443976163</v>
      </c>
      <c r="AF5" s="12">
        <f t="shared" si="5"/>
        <v>502.8732916174971</v>
      </c>
      <c r="AG5" s="12">
        <f t="shared" si="5"/>
        <v>512.93075744984708</v>
      </c>
      <c r="AH5" s="12">
        <f t="shared" si="5"/>
        <v>523.18937259884399</v>
      </c>
      <c r="AI5" s="12">
        <f t="shared" si="5"/>
        <v>533.65316005082093</v>
      </c>
      <c r="AJ5" s="12">
        <f t="shared" si="5"/>
        <v>544.32622325183729</v>
      </c>
      <c r="AK5" s="12">
        <f t="shared" si="5"/>
        <v>555.21274771687399</v>
      </c>
      <c r="AL5" s="12">
        <f t="shared" si="5"/>
        <v>566.31700267121153</v>
      </c>
    </row>
    <row r="6" spans="1:96" x14ac:dyDescent="0.2">
      <c r="A6" s="12"/>
      <c r="B6" s="1" t="s">
        <v>36</v>
      </c>
      <c r="E6" s="31"/>
      <c r="F6" s="14">
        <v>0</v>
      </c>
      <c r="G6" s="31">
        <f t="shared" si="0"/>
        <v>0</v>
      </c>
      <c r="H6" s="27">
        <v>0</v>
      </c>
      <c r="I6" s="31">
        <f>T6-H6</f>
        <v>0</v>
      </c>
      <c r="J6" s="14">
        <v>1.5940000000000001</v>
      </c>
      <c r="K6" s="31">
        <f>U6-J6</f>
        <v>1.22</v>
      </c>
      <c r="L6" s="14">
        <v>0</v>
      </c>
      <c r="M6" s="31">
        <f>V6-L6</f>
        <v>3.9E-2</v>
      </c>
      <c r="P6" s="14">
        <v>1.395</v>
      </c>
      <c r="Q6" s="14">
        <v>0.08</v>
      </c>
      <c r="R6" s="14">
        <v>0</v>
      </c>
      <c r="S6" s="14">
        <v>0</v>
      </c>
      <c r="T6" s="14">
        <v>0</v>
      </c>
      <c r="U6" s="14">
        <v>2.8140000000000001</v>
      </c>
      <c r="V6" s="14">
        <v>3.9E-2</v>
      </c>
      <c r="W6" s="135">
        <f>AVERAGE(T6:V6)</f>
        <v>0.95100000000000007</v>
      </c>
      <c r="X6" s="14">
        <f>AVERAGE(P6:W6)</f>
        <v>0.65987499999999999</v>
      </c>
      <c r="Y6" s="14">
        <f t="shared" ref="Y6:AL6" si="6">AVERAGE(Q6:X6)</f>
        <v>0.56798437499999999</v>
      </c>
      <c r="Z6" s="14">
        <f t="shared" si="6"/>
        <v>0.62898242187499998</v>
      </c>
      <c r="AA6" s="14">
        <f t="shared" si="6"/>
        <v>0.70760522460937492</v>
      </c>
      <c r="AB6" s="14">
        <f t="shared" si="6"/>
        <v>0.79605587768554675</v>
      </c>
      <c r="AC6" s="14">
        <f t="shared" si="6"/>
        <v>0.89556286239624006</v>
      </c>
      <c r="AD6" s="14">
        <f t="shared" si="6"/>
        <v>0.65575822019577013</v>
      </c>
      <c r="AE6" s="14">
        <f t="shared" si="6"/>
        <v>0.73285299772024137</v>
      </c>
      <c r="AF6" s="14">
        <f t="shared" si="6"/>
        <v>0.70558462243527176</v>
      </c>
      <c r="AG6" s="14">
        <f t="shared" si="6"/>
        <v>0.71129832523968051</v>
      </c>
      <c r="AH6" s="14">
        <f t="shared" si="6"/>
        <v>0.7292125690196406</v>
      </c>
      <c r="AI6" s="14">
        <f t="shared" si="6"/>
        <v>0.74174133741272075</v>
      </c>
      <c r="AJ6" s="14">
        <f t="shared" si="6"/>
        <v>0.74600835151313905</v>
      </c>
      <c r="AK6" s="14">
        <f t="shared" si="6"/>
        <v>0.73975241074158815</v>
      </c>
      <c r="AL6" s="14">
        <f t="shared" si="6"/>
        <v>0.72027610428475664</v>
      </c>
    </row>
    <row r="7" spans="1:96" x14ac:dyDescent="0.2">
      <c r="B7" s="1" t="s">
        <v>37</v>
      </c>
      <c r="E7" s="31"/>
      <c r="F7" s="14">
        <v>40.753</v>
      </c>
      <c r="G7" s="31">
        <f t="shared" si="0"/>
        <v>42.155000000000001</v>
      </c>
      <c r="H7" s="27">
        <v>40.078000000000003</v>
      </c>
      <c r="I7" s="31">
        <f>T7-H7</f>
        <v>17.991</v>
      </c>
      <c r="J7" s="14">
        <v>20.856999999999999</v>
      </c>
      <c r="K7" s="31">
        <f>U7-J7</f>
        <v>33.997999999999998</v>
      </c>
      <c r="L7" s="14">
        <v>48.915999999999997</v>
      </c>
      <c r="M7" s="31">
        <f>V7-L7</f>
        <v>60.022999999999996</v>
      </c>
      <c r="P7" s="14">
        <v>76.444000000000003</v>
      </c>
      <c r="Q7" s="14">
        <v>76.498000000000005</v>
      </c>
      <c r="R7" s="14">
        <v>78.908000000000001</v>
      </c>
      <c r="S7" s="14">
        <v>82.908000000000001</v>
      </c>
      <c r="T7" s="14">
        <v>58.069000000000003</v>
      </c>
      <c r="U7" s="14">
        <v>54.854999999999997</v>
      </c>
      <c r="V7" s="14">
        <v>108.93899999999999</v>
      </c>
      <c r="W7" s="135">
        <f>W5*0.65</f>
        <v>119.13134090000003</v>
      </c>
      <c r="X7" s="27">
        <f>X5*0.65</f>
        <v>137.00104203500001</v>
      </c>
      <c r="Y7" s="27">
        <f t="shared" ref="Y7:AL7" si="7">Y5*0.65</f>
        <v>164.40125044200002</v>
      </c>
      <c r="Z7" s="27">
        <f t="shared" si="7"/>
        <v>197.2815005304</v>
      </c>
      <c r="AA7" s="27">
        <f t="shared" si="7"/>
        <v>226.87372560996002</v>
      </c>
      <c r="AB7" s="27">
        <f t="shared" si="7"/>
        <v>249.561098170956</v>
      </c>
      <c r="AC7" s="27">
        <f t="shared" si="7"/>
        <v>274.51720798805167</v>
      </c>
      <c r="AD7" s="27">
        <f t="shared" si="7"/>
        <v>296.47858462709581</v>
      </c>
      <c r="AE7" s="27">
        <f t="shared" si="7"/>
        <v>311.3025138584506</v>
      </c>
      <c r="AF7" s="27">
        <f t="shared" si="7"/>
        <v>326.86763955137314</v>
      </c>
      <c r="AG7" s="27">
        <f t="shared" si="7"/>
        <v>333.40499234240059</v>
      </c>
      <c r="AH7" s="27">
        <f t="shared" si="7"/>
        <v>340.0730921892486</v>
      </c>
      <c r="AI7" s="27">
        <f t="shared" si="7"/>
        <v>346.87455403303363</v>
      </c>
      <c r="AJ7" s="27">
        <f t="shared" si="7"/>
        <v>353.81204511369424</v>
      </c>
      <c r="AK7" s="27">
        <f t="shared" si="7"/>
        <v>360.88828601596811</v>
      </c>
      <c r="AL7" s="27">
        <f t="shared" si="7"/>
        <v>368.1060517362875</v>
      </c>
    </row>
    <row r="8" spans="1:96" s="3" customFormat="1" x14ac:dyDescent="0.2">
      <c r="B8" s="3" t="s">
        <v>38</v>
      </c>
      <c r="E8" s="30"/>
      <c r="F8" s="12">
        <f>F5+F6-F7</f>
        <v>16.762999999999991</v>
      </c>
      <c r="G8" s="30">
        <f t="shared" si="0"/>
        <v>11.681000000000012</v>
      </c>
      <c r="H8" s="36">
        <f t="shared" ref="H8:M8" si="8">H5+H6-H7</f>
        <v>19.176000000000002</v>
      </c>
      <c r="I8" s="30">
        <f t="shared" si="8"/>
        <v>-9.3150000000000031</v>
      </c>
      <c r="J8" s="12">
        <f t="shared" si="8"/>
        <v>-10.022</v>
      </c>
      <c r="K8" s="30">
        <f t="shared" si="8"/>
        <v>19.602000000000004</v>
      </c>
      <c r="L8" s="12">
        <f t="shared" si="8"/>
        <v>37.616</v>
      </c>
      <c r="M8" s="30">
        <f t="shared" si="8"/>
        <v>17.833000000000013</v>
      </c>
      <c r="P8" s="12">
        <f t="shared" ref="P8:W8" si="9">P5+P6-P7</f>
        <v>14.377999999999986</v>
      </c>
      <c r="Q8" s="12">
        <f t="shared" si="9"/>
        <v>22.200999999999993</v>
      </c>
      <c r="R8" s="12">
        <f t="shared" si="9"/>
        <v>24.891999999999996</v>
      </c>
      <c r="S8" s="12">
        <f t="shared" si="9"/>
        <v>28.444000000000003</v>
      </c>
      <c r="T8" s="12">
        <f t="shared" si="9"/>
        <v>9.8610000000000042</v>
      </c>
      <c r="U8" s="12">
        <f t="shared" si="9"/>
        <v>9.5800000000000054</v>
      </c>
      <c r="V8" s="12">
        <f t="shared" si="9"/>
        <v>55.449000000000012</v>
      </c>
      <c r="W8" s="41">
        <f t="shared" si="9"/>
        <v>65.098645099999999</v>
      </c>
      <c r="X8" s="12">
        <f t="shared" ref="X8:AL8" si="10">X5+X6-X7</f>
        <v>74.429666865000002</v>
      </c>
      <c r="Y8" s="12">
        <f t="shared" si="10"/>
        <v>89.091734613000028</v>
      </c>
      <c r="Z8" s="12">
        <f t="shared" si="10"/>
        <v>106.85748270747499</v>
      </c>
      <c r="AA8" s="12">
        <f t="shared" si="10"/>
        <v>122.87038055304939</v>
      </c>
      <c r="AB8" s="12">
        <f t="shared" si="10"/>
        <v>135.17510873896956</v>
      </c>
      <c r="AC8" s="12">
        <f t="shared" si="10"/>
        <v>148.71252100980865</v>
      </c>
      <c r="AD8" s="12">
        <f t="shared" si="10"/>
        <v>160.29807301940116</v>
      </c>
      <c r="AE8" s="12">
        <f t="shared" si="10"/>
        <v>168.35728353688592</v>
      </c>
      <c r="AF8" s="12">
        <f t="shared" si="10"/>
        <v>176.71123668855921</v>
      </c>
      <c r="AG8" s="12">
        <f t="shared" si="10"/>
        <v>180.23706343268617</v>
      </c>
      <c r="AH8" s="12">
        <f t="shared" si="10"/>
        <v>183.84549297861503</v>
      </c>
      <c r="AI8" s="12">
        <f t="shared" si="10"/>
        <v>187.52034735519999</v>
      </c>
      <c r="AJ8" s="12">
        <f t="shared" si="10"/>
        <v>191.26018648965623</v>
      </c>
      <c r="AK8" s="12">
        <f t="shared" si="10"/>
        <v>195.06421411164752</v>
      </c>
      <c r="AL8" s="12">
        <f t="shared" si="10"/>
        <v>198.93122703920875</v>
      </c>
    </row>
    <row r="9" spans="1:96" x14ac:dyDescent="0.2">
      <c r="B9" s="1" t="s">
        <v>39</v>
      </c>
      <c r="E9" s="31"/>
      <c r="F9" s="14">
        <f>0.482-0.104</f>
        <v>0.378</v>
      </c>
      <c r="G9" s="31">
        <f t="shared" si="0"/>
        <v>0.47799999999999987</v>
      </c>
      <c r="H9" s="27">
        <f>4.773-0.065</f>
        <v>4.7079999999999993</v>
      </c>
      <c r="I9" s="31">
        <f>T9-H9</f>
        <v>3.9570000000000016</v>
      </c>
      <c r="J9" s="14">
        <v>4.4669999999999996</v>
      </c>
      <c r="K9" s="31">
        <f>U9-J9</f>
        <v>4.6510000000000007</v>
      </c>
      <c r="L9" s="14">
        <v>4.1790000000000003</v>
      </c>
      <c r="M9" s="31">
        <f>V9-L9</f>
        <v>4.6049999999999986</v>
      </c>
      <c r="P9" s="14">
        <f>-0.022+11.905-0.079</f>
        <v>11.803999999999998</v>
      </c>
      <c r="Q9" s="14">
        <f>1.158-0.012+0.055</f>
        <v>1.2009999999999998</v>
      </c>
      <c r="R9" s="14">
        <f>0.976-0.018</f>
        <v>0.95799999999999996</v>
      </c>
      <c r="S9" s="14">
        <f>1.023-0.167</f>
        <v>0.85599999999999987</v>
      </c>
      <c r="T9" s="14">
        <f>8.743-0.078</f>
        <v>8.6650000000000009</v>
      </c>
      <c r="U9" s="14">
        <v>9.1180000000000003</v>
      </c>
      <c r="V9" s="14">
        <f>-0.012+8.796</f>
        <v>8.7839999999999989</v>
      </c>
      <c r="W9" s="135">
        <f>AVERAGE(T9:V9)</f>
        <v>8.8556666666666661</v>
      </c>
      <c r="X9" s="1">
        <v>2.9</v>
      </c>
      <c r="Y9" s="1">
        <v>3.9</v>
      </c>
      <c r="Z9" s="1">
        <v>4.9000000000000004</v>
      </c>
      <c r="AA9" s="1">
        <v>5.9</v>
      </c>
      <c r="AB9" s="1">
        <v>6.9</v>
      </c>
      <c r="AC9" s="1">
        <v>7.9</v>
      </c>
      <c r="AD9" s="1">
        <v>8.9</v>
      </c>
      <c r="AE9" s="1">
        <v>9.9</v>
      </c>
      <c r="AF9" s="1">
        <v>10.9</v>
      </c>
      <c r="AG9" s="1">
        <v>11.9</v>
      </c>
      <c r="AH9" s="1">
        <v>12.9</v>
      </c>
      <c r="AI9" s="1">
        <v>13.9</v>
      </c>
      <c r="AJ9" s="1">
        <v>14.9</v>
      </c>
      <c r="AK9" s="1">
        <v>15.9</v>
      </c>
      <c r="AL9" s="1">
        <v>16.899999999999999</v>
      </c>
    </row>
    <row r="10" spans="1:96" x14ac:dyDescent="0.2">
      <c r="B10" s="1" t="s">
        <v>40</v>
      </c>
      <c r="E10" s="31"/>
      <c r="F10" s="14">
        <f>F8-F9</f>
        <v>16.384999999999991</v>
      </c>
      <c r="G10" s="31">
        <f t="shared" si="0"/>
        <v>11.20300000000001</v>
      </c>
      <c r="H10" s="27">
        <f t="shared" ref="H10:M10" si="11">H8-H9</f>
        <v>14.468000000000004</v>
      </c>
      <c r="I10" s="31">
        <f t="shared" si="11"/>
        <v>-13.272000000000006</v>
      </c>
      <c r="J10" s="14">
        <f t="shared" si="11"/>
        <v>-14.489000000000001</v>
      </c>
      <c r="K10" s="31">
        <f t="shared" si="11"/>
        <v>14.951000000000004</v>
      </c>
      <c r="L10" s="14">
        <f t="shared" si="11"/>
        <v>33.436999999999998</v>
      </c>
      <c r="M10" s="31">
        <f t="shared" si="11"/>
        <v>13.228000000000014</v>
      </c>
      <c r="P10" s="14">
        <f t="shared" ref="P10:W10" si="12">P8-P9</f>
        <v>2.5739999999999874</v>
      </c>
      <c r="Q10" s="14">
        <f t="shared" si="12"/>
        <v>20.999999999999993</v>
      </c>
      <c r="R10" s="14">
        <f t="shared" si="12"/>
        <v>23.933999999999997</v>
      </c>
      <c r="S10" s="14">
        <f t="shared" si="12"/>
        <v>27.588000000000001</v>
      </c>
      <c r="T10" s="14">
        <f t="shared" si="12"/>
        <v>1.1960000000000033</v>
      </c>
      <c r="U10" s="14">
        <f t="shared" si="12"/>
        <v>0.46200000000000507</v>
      </c>
      <c r="V10" s="14">
        <f t="shared" si="12"/>
        <v>46.665000000000013</v>
      </c>
      <c r="W10" s="44">
        <f t="shared" si="12"/>
        <v>56.242978433333334</v>
      </c>
      <c r="X10" s="14">
        <f t="shared" ref="X10:AL10" si="13">X8-X9</f>
        <v>71.529666864999996</v>
      </c>
      <c r="Y10" s="14">
        <f t="shared" si="13"/>
        <v>85.191734613000023</v>
      </c>
      <c r="Z10" s="14">
        <f t="shared" si="13"/>
        <v>101.95748270747498</v>
      </c>
      <c r="AA10" s="14">
        <f t="shared" si="13"/>
        <v>116.97038055304938</v>
      </c>
      <c r="AB10" s="14">
        <f t="shared" si="13"/>
        <v>128.27510873896955</v>
      </c>
      <c r="AC10" s="14">
        <f t="shared" si="13"/>
        <v>140.81252100980865</v>
      </c>
      <c r="AD10" s="14">
        <f t="shared" si="13"/>
        <v>151.39807301940115</v>
      </c>
      <c r="AE10" s="14">
        <f t="shared" si="13"/>
        <v>158.45728353688591</v>
      </c>
      <c r="AF10" s="14">
        <f t="shared" si="13"/>
        <v>165.81123668855921</v>
      </c>
      <c r="AG10" s="14">
        <f t="shared" si="13"/>
        <v>168.33706343268616</v>
      </c>
      <c r="AH10" s="14">
        <f t="shared" si="13"/>
        <v>170.94549297861502</v>
      </c>
      <c r="AI10" s="14">
        <f t="shared" si="13"/>
        <v>173.62034735519998</v>
      </c>
      <c r="AJ10" s="14">
        <f t="shared" si="13"/>
        <v>176.36018648965623</v>
      </c>
      <c r="AK10" s="14">
        <f t="shared" si="13"/>
        <v>179.16421411164751</v>
      </c>
      <c r="AL10" s="14">
        <f t="shared" si="13"/>
        <v>182.03122703920874</v>
      </c>
    </row>
    <row r="11" spans="1:96" x14ac:dyDescent="0.2">
      <c r="B11" s="1" t="s">
        <v>41</v>
      </c>
      <c r="E11" s="31"/>
      <c r="F11" s="14">
        <v>3.01</v>
      </c>
      <c r="G11" s="31">
        <f t="shared" si="0"/>
        <v>2.2930000000000001</v>
      </c>
      <c r="H11" s="27">
        <v>2.948</v>
      </c>
      <c r="I11" s="31">
        <f>T11-H11</f>
        <v>-3.137</v>
      </c>
      <c r="J11" s="14">
        <v>-2.8559999999999999</v>
      </c>
      <c r="K11" s="31">
        <f>U11-J11</f>
        <v>1.5899999999999999</v>
      </c>
      <c r="L11" s="14">
        <v>6.4119999999999999</v>
      </c>
      <c r="M11" s="31">
        <f>V11-L11</f>
        <v>2.8020000000000005</v>
      </c>
      <c r="P11" s="14">
        <v>1.387</v>
      </c>
      <c r="Q11" s="14">
        <v>2.8479999999999999</v>
      </c>
      <c r="R11" s="14">
        <v>5.15</v>
      </c>
      <c r="S11" s="14">
        <v>5.3029999999999999</v>
      </c>
      <c r="T11" s="14">
        <v>-0.189</v>
      </c>
      <c r="U11" s="14">
        <v>-1.266</v>
      </c>
      <c r="V11" s="14">
        <v>9.2140000000000004</v>
      </c>
      <c r="W11" s="135">
        <f>W10-W12</f>
        <v>11.248595686666661</v>
      </c>
      <c r="X11" s="27">
        <f>X10*(1-(1-X19))</f>
        <v>14.305933372999997</v>
      </c>
      <c r="Y11" s="27">
        <f t="shared" ref="Y11:AL11" si="14">Y10*(1-(1-Y19))</f>
        <v>17.038346922600002</v>
      </c>
      <c r="Z11" s="27">
        <f t="shared" si="14"/>
        <v>20.391496541494991</v>
      </c>
      <c r="AA11" s="27">
        <f t="shared" si="14"/>
        <v>23.39407611060987</v>
      </c>
      <c r="AB11" s="27">
        <f t="shared" si="14"/>
        <v>25.655021747793903</v>
      </c>
      <c r="AC11" s="27">
        <f t="shared" si="14"/>
        <v>28.162504201961724</v>
      </c>
      <c r="AD11" s="27">
        <f t="shared" si="14"/>
        <v>30.279614603880223</v>
      </c>
      <c r="AE11" s="27">
        <f t="shared" si="14"/>
        <v>31.691456707377174</v>
      </c>
      <c r="AF11" s="27">
        <f t="shared" si="14"/>
        <v>33.162247337711833</v>
      </c>
      <c r="AG11" s="27">
        <f t="shared" si="14"/>
        <v>33.667412686537226</v>
      </c>
      <c r="AH11" s="27">
        <f t="shared" si="14"/>
        <v>34.189098595722996</v>
      </c>
      <c r="AI11" s="27">
        <f t="shared" si="14"/>
        <v>34.724069471039989</v>
      </c>
      <c r="AJ11" s="27">
        <f t="shared" si="14"/>
        <v>35.272037297931234</v>
      </c>
      <c r="AK11" s="27">
        <f t="shared" si="14"/>
        <v>35.832842822329496</v>
      </c>
      <c r="AL11" s="27">
        <f t="shared" si="14"/>
        <v>36.406245407841737</v>
      </c>
    </row>
    <row r="12" spans="1:96" s="3" customFormat="1" x14ac:dyDescent="0.2">
      <c r="B12" s="3" t="s">
        <v>42</v>
      </c>
      <c r="E12" s="30"/>
      <c r="F12" s="12">
        <f>F10-F11</f>
        <v>13.374999999999991</v>
      </c>
      <c r="G12" s="30">
        <f t="shared" si="0"/>
        <v>8.910000000000009</v>
      </c>
      <c r="H12" s="36">
        <f t="shared" ref="H12:M12" si="15">H10-H11</f>
        <v>11.520000000000003</v>
      </c>
      <c r="I12" s="30">
        <f t="shared" si="15"/>
        <v>-10.135000000000005</v>
      </c>
      <c r="J12" s="12">
        <f t="shared" si="15"/>
        <v>-11.633000000000001</v>
      </c>
      <c r="K12" s="30">
        <f t="shared" si="15"/>
        <v>13.361000000000004</v>
      </c>
      <c r="L12" s="12">
        <f t="shared" si="15"/>
        <v>27.024999999999999</v>
      </c>
      <c r="M12" s="30">
        <f t="shared" si="15"/>
        <v>10.426000000000013</v>
      </c>
      <c r="O12" s="88"/>
      <c r="P12" s="12">
        <f t="shared" ref="P12:V12" si="16">P10-P11</f>
        <v>1.1869999999999874</v>
      </c>
      <c r="Q12" s="12">
        <f t="shared" si="16"/>
        <v>18.151999999999994</v>
      </c>
      <c r="R12" s="12">
        <f t="shared" si="16"/>
        <v>18.783999999999999</v>
      </c>
      <c r="S12" s="12">
        <f t="shared" si="16"/>
        <v>22.285</v>
      </c>
      <c r="T12" s="12">
        <f t="shared" si="16"/>
        <v>1.3850000000000033</v>
      </c>
      <c r="U12" s="12">
        <f t="shared" si="16"/>
        <v>1.7280000000000051</v>
      </c>
      <c r="V12" s="12">
        <f t="shared" si="16"/>
        <v>37.451000000000015</v>
      </c>
      <c r="W12" s="134">
        <f>W10*(1-W19)</f>
        <v>44.994382746666673</v>
      </c>
      <c r="X12" s="12">
        <f t="shared" ref="X12:AL12" si="17">X10-X11</f>
        <v>57.223733492000001</v>
      </c>
      <c r="Y12" s="12">
        <f t="shared" si="17"/>
        <v>68.153387690400024</v>
      </c>
      <c r="Z12" s="12">
        <f t="shared" si="17"/>
        <v>81.565986165979993</v>
      </c>
      <c r="AA12" s="12">
        <f t="shared" si="17"/>
        <v>93.576304442439508</v>
      </c>
      <c r="AB12" s="12">
        <f t="shared" si="17"/>
        <v>102.62008699117564</v>
      </c>
      <c r="AC12" s="12">
        <f t="shared" si="17"/>
        <v>112.65001680784692</v>
      </c>
      <c r="AD12" s="12">
        <f t="shared" si="17"/>
        <v>121.11845841552093</v>
      </c>
      <c r="AE12" s="12">
        <f t="shared" si="17"/>
        <v>126.76582682950874</v>
      </c>
      <c r="AF12" s="12">
        <f t="shared" si="17"/>
        <v>132.64898935084739</v>
      </c>
      <c r="AG12" s="12">
        <f t="shared" si="17"/>
        <v>134.66965074614893</v>
      </c>
      <c r="AH12" s="12">
        <f t="shared" si="17"/>
        <v>136.75639438289204</v>
      </c>
      <c r="AI12" s="12">
        <f t="shared" si="17"/>
        <v>138.89627788415999</v>
      </c>
      <c r="AJ12" s="12">
        <f t="shared" si="17"/>
        <v>141.08814919172499</v>
      </c>
      <c r="AK12" s="12">
        <f t="shared" si="17"/>
        <v>143.33137128931801</v>
      </c>
      <c r="AL12" s="12">
        <f t="shared" si="17"/>
        <v>145.62498163136701</v>
      </c>
      <c r="AM12" s="12">
        <f t="shared" ref="AM12:BR12" si="18">AL12*(1+$AO$15)</f>
        <v>142.71248199873966</v>
      </c>
      <c r="AN12" s="12">
        <f t="shared" si="18"/>
        <v>139.85823235876487</v>
      </c>
      <c r="AO12" s="12">
        <f t="shared" si="18"/>
        <v>137.06106771158957</v>
      </c>
      <c r="AP12" s="12">
        <f t="shared" si="18"/>
        <v>134.31984635735779</v>
      </c>
      <c r="AQ12" s="12">
        <f t="shared" si="18"/>
        <v>131.63344943021062</v>
      </c>
      <c r="AR12" s="12">
        <f t="shared" si="18"/>
        <v>129.00078044160639</v>
      </c>
      <c r="AS12" s="12">
        <f t="shared" si="18"/>
        <v>126.42076483277427</v>
      </c>
      <c r="AT12" s="12">
        <f t="shared" si="18"/>
        <v>123.89234953611879</v>
      </c>
      <c r="AU12" s="12">
        <f t="shared" si="18"/>
        <v>121.4145025453964</v>
      </c>
      <c r="AV12" s="12">
        <f t="shared" si="18"/>
        <v>118.98621249448847</v>
      </c>
      <c r="AW12" s="12">
        <f t="shared" si="18"/>
        <v>116.60648824459869</v>
      </c>
      <c r="AX12" s="12">
        <f t="shared" si="18"/>
        <v>114.27435847970672</v>
      </c>
      <c r="AY12" s="12">
        <f t="shared" si="18"/>
        <v>111.98887131011259</v>
      </c>
      <c r="AZ12" s="12">
        <f t="shared" si="18"/>
        <v>109.74909388391033</v>
      </c>
      <c r="BA12" s="12">
        <f t="shared" si="18"/>
        <v>107.55411200623213</v>
      </c>
      <c r="BB12" s="12">
        <f t="shared" si="18"/>
        <v>105.40302976610748</v>
      </c>
      <c r="BC12" s="12">
        <f t="shared" si="18"/>
        <v>103.29496917078532</v>
      </c>
      <c r="BD12" s="12">
        <f t="shared" si="18"/>
        <v>101.22906978736961</v>
      </c>
      <c r="BE12" s="12">
        <f t="shared" si="18"/>
        <v>99.20448839162222</v>
      </c>
      <c r="BF12" s="12">
        <f t="shared" si="18"/>
        <v>97.220398623789777</v>
      </c>
      <c r="BG12" s="12">
        <f t="shared" si="18"/>
        <v>95.275990651313975</v>
      </c>
      <c r="BH12" s="12">
        <f t="shared" si="18"/>
        <v>93.370470838287687</v>
      </c>
      <c r="BI12" s="12">
        <f t="shared" si="18"/>
        <v>91.503061421521934</v>
      </c>
      <c r="BJ12" s="12">
        <f t="shared" si="18"/>
        <v>89.673000193091497</v>
      </c>
      <c r="BK12" s="12">
        <f t="shared" si="18"/>
        <v>87.879540189229658</v>
      </c>
      <c r="BL12" s="12">
        <f t="shared" si="18"/>
        <v>86.121949385445063</v>
      </c>
      <c r="BM12" s="12">
        <f t="shared" si="18"/>
        <v>84.399510397736165</v>
      </c>
      <c r="BN12" s="12">
        <f t="shared" si="18"/>
        <v>82.711520189781439</v>
      </c>
      <c r="BO12" s="12">
        <f t="shared" si="18"/>
        <v>81.057289785985802</v>
      </c>
      <c r="BP12" s="12">
        <f t="shared" si="18"/>
        <v>79.436143990266089</v>
      </c>
      <c r="BQ12" s="12">
        <f t="shared" si="18"/>
        <v>77.847421110460772</v>
      </c>
      <c r="BR12" s="12">
        <f t="shared" si="18"/>
        <v>76.290472688251555</v>
      </c>
      <c r="BS12" s="12">
        <f t="shared" ref="BS12:CR12" si="19">BR12*(1+$AO$15)</f>
        <v>74.76466323448652</v>
      </c>
      <c r="BT12" s="12">
        <f t="shared" si="19"/>
        <v>73.269369969796784</v>
      </c>
      <c r="BU12" s="12">
        <f t="shared" si="19"/>
        <v>71.803982570400848</v>
      </c>
      <c r="BV12" s="12">
        <f t="shared" si="19"/>
        <v>70.367902918992826</v>
      </c>
      <c r="BW12" s="12">
        <f t="shared" si="19"/>
        <v>68.96054486061297</v>
      </c>
      <c r="BX12" s="12">
        <f t="shared" si="19"/>
        <v>67.581333963400709</v>
      </c>
      <c r="BY12" s="12">
        <f t="shared" si="19"/>
        <v>66.229707284132701</v>
      </c>
      <c r="BZ12" s="12">
        <f t="shared" si="19"/>
        <v>64.905113138450048</v>
      </c>
      <c r="CA12" s="12">
        <f t="shared" si="19"/>
        <v>63.607010875681048</v>
      </c>
      <c r="CB12" s="12">
        <f t="shared" si="19"/>
        <v>62.334870658167425</v>
      </c>
      <c r="CC12" s="12">
        <f t="shared" si="19"/>
        <v>61.088173245004079</v>
      </c>
      <c r="CD12" s="12">
        <f t="shared" si="19"/>
        <v>59.866409780103993</v>
      </c>
      <c r="CE12" s="12">
        <f t="shared" si="19"/>
        <v>58.66908158450191</v>
      </c>
      <c r="CF12" s="12">
        <f t="shared" si="19"/>
        <v>57.495699952811869</v>
      </c>
      <c r="CG12" s="12">
        <f t="shared" si="19"/>
        <v>56.34578595375563</v>
      </c>
      <c r="CH12" s="12">
        <f t="shared" si="19"/>
        <v>55.218870234680516</v>
      </c>
      <c r="CI12" s="12">
        <f t="shared" si="19"/>
        <v>54.114492829986908</v>
      </c>
      <c r="CJ12" s="12">
        <f t="shared" si="19"/>
        <v>53.032202973387172</v>
      </c>
      <c r="CK12" s="12">
        <f t="shared" si="19"/>
        <v>51.971558913919431</v>
      </c>
      <c r="CL12" s="12">
        <f t="shared" si="19"/>
        <v>50.932127735641039</v>
      </c>
      <c r="CM12" s="12">
        <f t="shared" si="19"/>
        <v>49.91348518092822</v>
      </c>
      <c r="CN12" s="12">
        <f t="shared" si="19"/>
        <v>48.915215477309651</v>
      </c>
      <c r="CO12" s="12">
        <f t="shared" si="19"/>
        <v>47.936911167763455</v>
      </c>
      <c r="CP12" s="12">
        <f t="shared" si="19"/>
        <v>46.978172944408186</v>
      </c>
      <c r="CQ12" s="12">
        <f t="shared" si="19"/>
        <v>46.03860948552002</v>
      </c>
      <c r="CR12" s="12">
        <f t="shared" si="19"/>
        <v>45.117837295809622</v>
      </c>
    </row>
    <row r="13" spans="1:96" x14ac:dyDescent="0.2">
      <c r="B13" s="1" t="s">
        <v>43</v>
      </c>
      <c r="E13" s="33"/>
      <c r="F13" s="26">
        <f t="shared" ref="F13:M13" si="20">F12/F14</f>
        <v>8.8853291768992385E-2</v>
      </c>
      <c r="G13" s="33">
        <f t="shared" si="20"/>
        <v>5.9400000000000057E-2</v>
      </c>
      <c r="H13" s="26">
        <f t="shared" si="20"/>
        <v>7.6442866571663867E-2</v>
      </c>
      <c r="I13" s="33">
        <f t="shared" si="20"/>
        <v>-6.6068394484364051E-2</v>
      </c>
      <c r="J13" s="26">
        <f t="shared" si="20"/>
        <v>-7.3358228129837819E-2</v>
      </c>
      <c r="K13" s="33">
        <f t="shared" si="20"/>
        <v>8.116869753753031E-2</v>
      </c>
      <c r="L13" s="26">
        <f t="shared" si="20"/>
        <v>0.15819934224664817</v>
      </c>
      <c r="M13" s="33">
        <f t="shared" si="20"/>
        <v>6.0988847885565384E-2</v>
      </c>
      <c r="N13" s="26"/>
      <c r="O13" s="26"/>
      <c r="P13" s="26">
        <f t="shared" ref="P13:AL13" si="21">P12/P14</f>
        <v>1.1214705682000902E-2</v>
      </c>
      <c r="Q13" s="26">
        <f t="shared" si="21"/>
        <v>0.12101333333333329</v>
      </c>
      <c r="R13" s="26">
        <f t="shared" si="21"/>
        <v>0.12522666666666665</v>
      </c>
      <c r="S13" s="26">
        <f t="shared" si="21"/>
        <v>0.14856666666666668</v>
      </c>
      <c r="T13" s="26">
        <f t="shared" si="21"/>
        <v>9.0285867154261852E-3</v>
      </c>
      <c r="U13" s="26">
        <f t="shared" si="21"/>
        <v>1.0497680513797826E-2</v>
      </c>
      <c r="V13" s="26">
        <f t="shared" si="21"/>
        <v>0.21907666815291649</v>
      </c>
      <c r="W13" s="43">
        <f t="shared" si="21"/>
        <v>0.26320310426255111</v>
      </c>
      <c r="X13" s="27">
        <f t="shared" si="21"/>
        <v>0.33474099150083608</v>
      </c>
      <c r="Y13" s="27">
        <f t="shared" si="21"/>
        <v>0.39867605934546008</v>
      </c>
      <c r="Z13" s="27">
        <f t="shared" si="21"/>
        <v>0.47713557672291179</v>
      </c>
      <c r="AA13" s="27">
        <f t="shared" si="21"/>
        <v>0.54739219233965974</v>
      </c>
      <c r="AB13" s="27">
        <f t="shared" si="21"/>
        <v>0.60029549928143977</v>
      </c>
      <c r="AC13" s="27">
        <f t="shared" si="21"/>
        <v>0.65896746013813079</v>
      </c>
      <c r="AD13" s="27">
        <f t="shared" si="21"/>
        <v>0.70850520203705869</v>
      </c>
      <c r="AE13" s="27">
        <f t="shared" si="21"/>
        <v>0.74154054571195305</v>
      </c>
      <c r="AF13" s="27">
        <f t="shared" si="21"/>
        <v>0.77595521136512602</v>
      </c>
      <c r="AG13" s="27">
        <f t="shared" si="21"/>
        <v>0.78777545023586082</v>
      </c>
      <c r="AH13" s="27">
        <f t="shared" si="21"/>
        <v>0.79998224960642439</v>
      </c>
      <c r="AI13" s="27">
        <f t="shared" si="21"/>
        <v>0.81249990060888577</v>
      </c>
      <c r="AJ13" s="27">
        <f t="shared" si="21"/>
        <v>0.82532166406196628</v>
      </c>
      <c r="AK13" s="27">
        <f t="shared" si="21"/>
        <v>0.8384438136191924</v>
      </c>
      <c r="AL13" s="27">
        <f t="shared" si="21"/>
        <v>0.85186071868920821</v>
      </c>
    </row>
    <row r="14" spans="1:96" ht="12.75" customHeight="1" x14ac:dyDescent="0.2">
      <c r="B14" s="1" t="s">
        <v>4</v>
      </c>
      <c r="E14" s="32"/>
      <c r="F14" s="27">
        <v>150.529032</v>
      </c>
      <c r="G14" s="32">
        <f>S14</f>
        <v>150</v>
      </c>
      <c r="H14" s="27">
        <v>150.700785</v>
      </c>
      <c r="I14" s="32">
        <f>T14</f>
        <v>153.40163899999999</v>
      </c>
      <c r="J14" s="27">
        <v>158.57798500000001</v>
      </c>
      <c r="K14" s="32">
        <f>U14</f>
        <v>164.60779099999999</v>
      </c>
      <c r="L14" s="27">
        <v>170.828776</v>
      </c>
      <c r="M14" s="32">
        <f>V14</f>
        <v>170.949286</v>
      </c>
      <c r="P14" s="27">
        <v>105.84317</v>
      </c>
      <c r="Q14" s="1">
        <v>150</v>
      </c>
      <c r="R14" s="1">
        <v>150</v>
      </c>
      <c r="S14" s="1">
        <v>150</v>
      </c>
      <c r="T14" s="27">
        <v>153.40163899999999</v>
      </c>
      <c r="U14" s="27">
        <v>164.60779099999999</v>
      </c>
      <c r="V14" s="27">
        <v>170.949286</v>
      </c>
      <c r="W14" s="136">
        <f>V14</f>
        <v>170.949286</v>
      </c>
      <c r="X14" s="27">
        <f>W14</f>
        <v>170.949286</v>
      </c>
      <c r="Y14" s="27">
        <f t="shared" ref="Y14:AL14" si="22">X14</f>
        <v>170.949286</v>
      </c>
      <c r="Z14" s="27">
        <f t="shared" si="22"/>
        <v>170.949286</v>
      </c>
      <c r="AA14" s="27">
        <f t="shared" si="22"/>
        <v>170.949286</v>
      </c>
      <c r="AB14" s="27">
        <f t="shared" si="22"/>
        <v>170.949286</v>
      </c>
      <c r="AC14" s="27">
        <f t="shared" si="22"/>
        <v>170.949286</v>
      </c>
      <c r="AD14" s="27">
        <f t="shared" si="22"/>
        <v>170.949286</v>
      </c>
      <c r="AE14" s="27">
        <f t="shared" si="22"/>
        <v>170.949286</v>
      </c>
      <c r="AF14" s="27">
        <f t="shared" si="22"/>
        <v>170.949286</v>
      </c>
      <c r="AG14" s="27">
        <f t="shared" si="22"/>
        <v>170.949286</v>
      </c>
      <c r="AH14" s="27">
        <f t="shared" si="22"/>
        <v>170.949286</v>
      </c>
      <c r="AI14" s="27">
        <f t="shared" si="22"/>
        <v>170.949286</v>
      </c>
      <c r="AJ14" s="27">
        <f t="shared" si="22"/>
        <v>170.949286</v>
      </c>
      <c r="AK14" s="27">
        <f t="shared" si="22"/>
        <v>170.949286</v>
      </c>
      <c r="AL14" s="27">
        <f t="shared" si="22"/>
        <v>170.949286</v>
      </c>
    </row>
    <row r="15" spans="1:96" ht="12.75" customHeight="1" x14ac:dyDescent="0.25">
      <c r="AN15" s="45" t="s">
        <v>88</v>
      </c>
      <c r="AO15" s="62">
        <v>-0.02</v>
      </c>
    </row>
    <row r="16" spans="1:96" ht="12.75" customHeight="1" x14ac:dyDescent="0.25">
      <c r="B16" s="1" t="s">
        <v>44</v>
      </c>
      <c r="E16" s="34"/>
      <c r="F16" s="23">
        <f t="shared" ref="F16:L16" si="23">F5/F3</f>
        <v>0.85857590685176888</v>
      </c>
      <c r="G16" s="34">
        <f t="shared" si="23"/>
        <v>0.8558438255118912</v>
      </c>
      <c r="H16" s="23">
        <f t="shared" si="23"/>
        <v>0.85590062111801246</v>
      </c>
      <c r="I16" s="34">
        <f t="shared" si="23"/>
        <v>0.84701747534901894</v>
      </c>
      <c r="J16" s="23">
        <f t="shared" si="23"/>
        <v>0.88574714847119718</v>
      </c>
      <c r="K16" s="34">
        <f t="shared" si="23"/>
        <v>0.85246968833916514</v>
      </c>
      <c r="L16" s="23">
        <f t="shared" si="23"/>
        <v>0.86382558174358359</v>
      </c>
      <c r="M16" s="34">
        <f t="shared" ref="M16" si="24">M5/M3</f>
        <v>0.83166253419972636</v>
      </c>
      <c r="P16" s="23">
        <f t="shared" ref="P16:Q16" si="25">P5/P3</f>
        <v>0.85328664255794195</v>
      </c>
      <c r="Q16" s="23">
        <f t="shared" si="25"/>
        <v>0.86532184472834472</v>
      </c>
      <c r="R16" s="23">
        <f t="shared" ref="R16:S16" si="26">R5/R3</f>
        <v>0.8610677904237316</v>
      </c>
      <c r="S16" s="23">
        <f t="shared" si="26"/>
        <v>0.85725283692857257</v>
      </c>
      <c r="T16" s="23">
        <f>T5/T3</f>
        <v>0.85475570319479577</v>
      </c>
      <c r="U16" s="23">
        <f>U5/U3</f>
        <v>0.85729986922284984</v>
      </c>
      <c r="V16" s="23">
        <f t="shared" ref="V16" si="27">V5/V3</f>
        <v>0.84829230777171583</v>
      </c>
      <c r="W16" s="137">
        <v>0.86</v>
      </c>
      <c r="X16" s="23">
        <f t="shared" ref="X16:AL16" si="28">X5/X3</f>
        <v>0.85999999999999988</v>
      </c>
      <c r="Y16" s="23">
        <f t="shared" si="28"/>
        <v>0.86</v>
      </c>
      <c r="Z16" s="23">
        <f t="shared" si="28"/>
        <v>0.85999999999999988</v>
      </c>
      <c r="AA16" s="23">
        <f t="shared" si="28"/>
        <v>0.86</v>
      </c>
      <c r="AB16" s="23">
        <f t="shared" si="28"/>
        <v>0.85999999999999988</v>
      </c>
      <c r="AC16" s="23">
        <f t="shared" si="28"/>
        <v>0.86</v>
      </c>
      <c r="AD16" s="23">
        <f t="shared" si="28"/>
        <v>0.86</v>
      </c>
      <c r="AE16" s="23">
        <f t="shared" si="28"/>
        <v>0.86</v>
      </c>
      <c r="AF16" s="23">
        <f t="shared" si="28"/>
        <v>0.86</v>
      </c>
      <c r="AG16" s="23">
        <f t="shared" si="28"/>
        <v>0.86</v>
      </c>
      <c r="AH16" s="23">
        <f t="shared" si="28"/>
        <v>0.86</v>
      </c>
      <c r="AI16" s="23">
        <f t="shared" si="28"/>
        <v>0.8600000000000001</v>
      </c>
      <c r="AJ16" s="23">
        <f t="shared" si="28"/>
        <v>0.86</v>
      </c>
      <c r="AK16" s="23">
        <f t="shared" si="28"/>
        <v>0.86</v>
      </c>
      <c r="AL16" s="23">
        <f t="shared" si="28"/>
        <v>0.86</v>
      </c>
      <c r="AN16" s="46" t="s">
        <v>89</v>
      </c>
      <c r="AO16" s="63">
        <v>7.0000000000000007E-2</v>
      </c>
    </row>
    <row r="17" spans="1:42" ht="12.75" customHeight="1" x14ac:dyDescent="0.25">
      <c r="B17" s="1" t="s">
        <v>45</v>
      </c>
      <c r="E17" s="34"/>
      <c r="F17" s="23">
        <f t="shared" ref="F17:L17" si="29">F8/F3</f>
        <v>0.25023137781758459</v>
      </c>
      <c r="G17" s="34">
        <f t="shared" si="29"/>
        <v>0.18569566323286293</v>
      </c>
      <c r="H17" s="23">
        <f t="shared" si="29"/>
        <v>0.27698974433049256</v>
      </c>
      <c r="I17" s="34">
        <f t="shared" si="29"/>
        <v>-0.90940154251684147</v>
      </c>
      <c r="J17" s="23">
        <f t="shared" si="29"/>
        <v>-0.96060577015240112</v>
      </c>
      <c r="K17" s="34">
        <f t="shared" si="29"/>
        <v>0.31901700707950204</v>
      </c>
      <c r="L17" s="23">
        <f t="shared" si="29"/>
        <v>0.37551036706497759</v>
      </c>
      <c r="M17" s="34">
        <f t="shared" ref="M17" si="30">M8/M3</f>
        <v>0.19058866279069778</v>
      </c>
      <c r="P17" s="23">
        <f t="shared" ref="P17:Q17" si="31">P8/P3</f>
        <v>0.13719072927301687</v>
      </c>
      <c r="Q17" s="23">
        <f t="shared" si="31"/>
        <v>0.19480029481959843</v>
      </c>
      <c r="R17" s="23">
        <f t="shared" ref="R17:S17" si="32">R8/R3</f>
        <v>0.20649036068619966</v>
      </c>
      <c r="S17" s="23">
        <f t="shared" si="32"/>
        <v>0.2189785517421898</v>
      </c>
      <c r="T17" s="23">
        <f>T8/T3</f>
        <v>0.12407987618436456</v>
      </c>
      <c r="U17" s="23">
        <f>U8/U3</f>
        <v>0.13328139347227252</v>
      </c>
      <c r="V17" s="23">
        <f t="shared" ref="V17:AL17" si="33">V8/V3</f>
        <v>0.28620168162650139</v>
      </c>
      <c r="W17" s="137">
        <f>W8/W3</f>
        <v>0.30546237737260279</v>
      </c>
      <c r="X17" s="23">
        <f t="shared" si="33"/>
        <v>0.30369246218511065</v>
      </c>
      <c r="Y17" s="23">
        <f t="shared" si="33"/>
        <v>0.30293127038128592</v>
      </c>
      <c r="Z17" s="23">
        <f t="shared" si="33"/>
        <v>0.3027822308370669</v>
      </c>
      <c r="AA17" s="23">
        <f t="shared" si="33"/>
        <v>0.30274348668843509</v>
      </c>
      <c r="AB17" s="23">
        <f t="shared" si="33"/>
        <v>0.30278311138589953</v>
      </c>
      <c r="AC17" s="23">
        <f t="shared" si="33"/>
        <v>0.30282363664466994</v>
      </c>
      <c r="AD17" s="23">
        <f t="shared" si="33"/>
        <v>0.30223640918466499</v>
      </c>
      <c r="AE17" s="23">
        <f t="shared" si="33"/>
        <v>0.30231597018169881</v>
      </c>
      <c r="AF17" s="23">
        <f t="shared" si="33"/>
        <v>0.30220667131344858</v>
      </c>
      <c r="AG17" s="23">
        <f t="shared" si="33"/>
        <v>0.30219259091177808</v>
      </c>
      <c r="AH17" s="23">
        <f t="shared" si="33"/>
        <v>0.30219865357020109</v>
      </c>
      <c r="AI17" s="23">
        <f t="shared" si="33"/>
        <v>0.30219534109029572</v>
      </c>
      <c r="AJ17" s="23">
        <f t="shared" si="33"/>
        <v>0.30217864463422056</v>
      </c>
      <c r="AK17" s="23">
        <f t="shared" si="33"/>
        <v>0.30214584377944109</v>
      </c>
      <c r="AL17" s="23">
        <f t="shared" si="33"/>
        <v>0.30209379984489798</v>
      </c>
      <c r="AN17" s="46" t="s">
        <v>90</v>
      </c>
      <c r="AO17" s="64">
        <f>NPV(AO16,X12:CR12)</f>
        <v>1553.7941199059314</v>
      </c>
    </row>
    <row r="18" spans="1:42" ht="12.75" customHeight="1" x14ac:dyDescent="0.25">
      <c r="A18" s="3"/>
      <c r="B18" s="1" t="s">
        <v>46</v>
      </c>
      <c r="E18" s="34"/>
      <c r="F18" s="23">
        <f t="shared" ref="F18:L18" si="34">F12/F3</f>
        <v>0.19965666517390643</v>
      </c>
      <c r="G18" s="34">
        <f t="shared" si="34"/>
        <v>0.14164441053033205</v>
      </c>
      <c r="H18" s="23">
        <f t="shared" si="34"/>
        <v>0.16640184890943235</v>
      </c>
      <c r="I18" s="34">
        <f t="shared" si="34"/>
        <v>-0.98945621399980577</v>
      </c>
      <c r="J18" s="23">
        <f t="shared" si="34"/>
        <v>-1.1150196491900701</v>
      </c>
      <c r="K18" s="34">
        <f t="shared" si="34"/>
        <v>0.21744649686711701</v>
      </c>
      <c r="L18" s="23">
        <f t="shared" si="34"/>
        <v>0.26978327493436355</v>
      </c>
      <c r="M18" s="34">
        <f t="shared" ref="M18" si="35">M12/M3</f>
        <v>0.11142698358413144</v>
      </c>
      <c r="P18" s="23">
        <f t="shared" ref="P18:Q18" si="36">P12/P3</f>
        <v>1.1326011659971446E-2</v>
      </c>
      <c r="Q18" s="23">
        <f t="shared" si="36"/>
        <v>0.15927277832373993</v>
      </c>
      <c r="R18" s="23">
        <f t="shared" ref="R18:S18" si="37">R12/R3</f>
        <v>0.15582174735375118</v>
      </c>
      <c r="S18" s="23">
        <f t="shared" si="37"/>
        <v>0.17156296672671562</v>
      </c>
      <c r="T18" s="23">
        <f>T12/T3</f>
        <v>1.7427302354258722E-2</v>
      </c>
      <c r="U18" s="23">
        <f>U12/U3</f>
        <v>2.4040735691032097E-2</v>
      </c>
      <c r="V18" s="23">
        <f t="shared" ref="V18:W18" si="38">V12/V3</f>
        <v>0.19330446317506367</v>
      </c>
      <c r="W18" s="42">
        <f t="shared" si="38"/>
        <v>0.21112714559722265</v>
      </c>
      <c r="X18" s="23">
        <f t="shared" ref="X18:AL18" si="39">X12/X3</f>
        <v>0.23348776437668206</v>
      </c>
      <c r="Y18" s="23">
        <f t="shared" si="39"/>
        <v>0.23173633787155598</v>
      </c>
      <c r="Z18" s="23">
        <f t="shared" si="39"/>
        <v>0.23111840767734232</v>
      </c>
      <c r="AA18" s="23">
        <f t="shared" si="39"/>
        <v>0.23056506011301317</v>
      </c>
      <c r="AB18" s="23">
        <f t="shared" si="39"/>
        <v>0.22986206203008003</v>
      </c>
      <c r="AC18" s="23">
        <f t="shared" si="39"/>
        <v>0.2293894792865854</v>
      </c>
      <c r="AD18" s="23">
        <f t="shared" si="39"/>
        <v>0.22836461641718347</v>
      </c>
      <c r="AE18" s="23">
        <f t="shared" si="39"/>
        <v>0.22763098286420011</v>
      </c>
      <c r="AF18" s="23">
        <f t="shared" si="39"/>
        <v>0.22685263413929832</v>
      </c>
      <c r="AG18" s="23">
        <f t="shared" si="39"/>
        <v>0.22579246410859313</v>
      </c>
      <c r="AH18" s="23">
        <f t="shared" si="39"/>
        <v>0.22479527553298589</v>
      </c>
      <c r="AI18" s="23">
        <f t="shared" si="39"/>
        <v>0.22383601920206384</v>
      </c>
      <c r="AJ18" s="23">
        <f t="shared" si="39"/>
        <v>0.22291009163588729</v>
      </c>
      <c r="AK18" s="23">
        <f t="shared" si="39"/>
        <v>0.22201395738066051</v>
      </c>
      <c r="AL18" s="23">
        <f t="shared" si="39"/>
        <v>0.22114378274403523</v>
      </c>
      <c r="AN18" s="46" t="s">
        <v>8</v>
      </c>
      <c r="AO18" s="64">
        <f>Main!C11</f>
        <v>56.066000000000003</v>
      </c>
    </row>
    <row r="19" spans="1:42" ht="12.75" customHeight="1" x14ac:dyDescent="0.25">
      <c r="B19" s="1" t="s">
        <v>139</v>
      </c>
      <c r="E19" s="34"/>
      <c r="F19" s="23">
        <f t="shared" ref="F19:L19" si="40">F11/F10</f>
        <v>0.1837046078730547</v>
      </c>
      <c r="G19" s="34">
        <f t="shared" si="40"/>
        <v>0.20467731857538143</v>
      </c>
      <c r="H19" s="23">
        <f t="shared" si="40"/>
        <v>0.20376002211777711</v>
      </c>
      <c r="I19" s="34">
        <f t="shared" si="40"/>
        <v>0.23636226642555747</v>
      </c>
      <c r="J19" s="23">
        <f t="shared" si="40"/>
        <v>0.19711505279867483</v>
      </c>
      <c r="K19" s="34">
        <f t="shared" si="40"/>
        <v>0.10634740151160453</v>
      </c>
      <c r="L19" s="23">
        <f t="shared" si="40"/>
        <v>0.19176361515686216</v>
      </c>
      <c r="M19" s="34">
        <f t="shared" ref="M19" si="41">M11/M10</f>
        <v>0.21182340489869955</v>
      </c>
      <c r="P19" s="23">
        <f>P11/P10</f>
        <v>0.53885003885004146</v>
      </c>
      <c r="Q19" s="23">
        <f t="shared" ref="Q19:U19" si="42">Q11/Q10</f>
        <v>0.13561904761904767</v>
      </c>
      <c r="R19" s="23">
        <f t="shared" si="42"/>
        <v>0.21517506476142731</v>
      </c>
      <c r="S19" s="23">
        <f t="shared" si="42"/>
        <v>0.1922212556183848</v>
      </c>
      <c r="T19" s="23">
        <f t="shared" si="42"/>
        <v>-0.15802675585284237</v>
      </c>
      <c r="U19" s="23">
        <f t="shared" si="42"/>
        <v>-2.7402597402597104</v>
      </c>
      <c r="V19" s="23">
        <f t="shared" ref="V19" si="43">V11/V10</f>
        <v>0.19744990892531872</v>
      </c>
      <c r="W19" s="137">
        <v>0.2</v>
      </c>
      <c r="X19" s="23">
        <f>W19</f>
        <v>0.2</v>
      </c>
      <c r="Y19" s="23">
        <f t="shared" ref="Y19:AL19" si="44">X19</f>
        <v>0.2</v>
      </c>
      <c r="Z19" s="23">
        <f t="shared" si="44"/>
        <v>0.2</v>
      </c>
      <c r="AA19" s="23">
        <f t="shared" si="44"/>
        <v>0.2</v>
      </c>
      <c r="AB19" s="23">
        <f t="shared" si="44"/>
        <v>0.2</v>
      </c>
      <c r="AC19" s="23">
        <f t="shared" si="44"/>
        <v>0.2</v>
      </c>
      <c r="AD19" s="23">
        <f t="shared" si="44"/>
        <v>0.2</v>
      </c>
      <c r="AE19" s="23">
        <f t="shared" si="44"/>
        <v>0.2</v>
      </c>
      <c r="AF19" s="23">
        <f t="shared" si="44"/>
        <v>0.2</v>
      </c>
      <c r="AG19" s="23">
        <f t="shared" si="44"/>
        <v>0.2</v>
      </c>
      <c r="AH19" s="23">
        <f t="shared" si="44"/>
        <v>0.2</v>
      </c>
      <c r="AI19" s="23">
        <f t="shared" si="44"/>
        <v>0.2</v>
      </c>
      <c r="AJ19" s="23">
        <f t="shared" si="44"/>
        <v>0.2</v>
      </c>
      <c r="AK19" s="23">
        <f t="shared" si="44"/>
        <v>0.2</v>
      </c>
      <c r="AL19" s="23">
        <f t="shared" si="44"/>
        <v>0.2</v>
      </c>
      <c r="AN19" s="46" t="s">
        <v>91</v>
      </c>
      <c r="AO19" s="64">
        <f>AO17+AO18</f>
        <v>1609.8601199059315</v>
      </c>
    </row>
    <row r="20" spans="1:42" ht="12.75" customHeight="1" x14ac:dyDescent="0.25">
      <c r="AN20" s="47" t="s">
        <v>92</v>
      </c>
      <c r="AO20" s="65">
        <f>AO19/Main!C7</f>
        <v>9.417179548242931</v>
      </c>
    </row>
    <row r="21" spans="1:42" ht="12.75" customHeight="1" x14ac:dyDescent="0.25">
      <c r="B21" s="1" t="s">
        <v>47</v>
      </c>
      <c r="E21" s="37"/>
      <c r="F21" s="38" t="s">
        <v>72</v>
      </c>
      <c r="G21" s="37" t="s">
        <v>72</v>
      </c>
      <c r="H21" s="23">
        <f t="shared" ref="H21:M21" si="45">H3/F3-1</f>
        <v>3.3437826541274918E-2</v>
      </c>
      <c r="I21" s="34">
        <f t="shared" si="45"/>
        <v>-0.8371645682309552</v>
      </c>
      <c r="J21" s="23">
        <f t="shared" si="45"/>
        <v>-0.84929943666040741</v>
      </c>
      <c r="K21" s="34">
        <f t="shared" si="45"/>
        <v>4.9987308405740531</v>
      </c>
      <c r="L21" s="23">
        <f t="shared" si="45"/>
        <v>8.6015527652640671</v>
      </c>
      <c r="M21" s="34">
        <f t="shared" si="45"/>
        <v>0.5227927414761171</v>
      </c>
      <c r="P21" s="38" t="s">
        <v>72</v>
      </c>
      <c r="Q21" s="23">
        <f t="shared" ref="Q21:T21" si="46">Q3/P3-1</f>
        <v>8.744978674274595E-2</v>
      </c>
      <c r="R21" s="23">
        <f t="shared" si="46"/>
        <v>5.7735504703074536E-2</v>
      </c>
      <c r="S21" s="23">
        <f t="shared" si="46"/>
        <v>7.7529282941235067E-2</v>
      </c>
      <c r="T21" s="23">
        <f t="shared" si="46"/>
        <v>-0.38817035428888169</v>
      </c>
      <c r="U21" s="23">
        <f>U3/T3-1</f>
        <v>-9.5567047928227233E-2</v>
      </c>
      <c r="V21" s="23">
        <f t="shared" ref="V21" si="47">V3/U3-1</f>
        <v>1.6954144522663404</v>
      </c>
      <c r="W21" s="137">
        <v>0.1</v>
      </c>
      <c r="X21" s="23">
        <v>0.15</v>
      </c>
      <c r="Y21" s="23">
        <v>0.2</v>
      </c>
      <c r="Z21" s="23">
        <v>0.2</v>
      </c>
      <c r="AA21" s="23">
        <v>0.15</v>
      </c>
      <c r="AB21" s="23">
        <v>0.1</v>
      </c>
      <c r="AC21" s="23">
        <v>0.1</v>
      </c>
      <c r="AD21" s="23">
        <v>0.08</v>
      </c>
      <c r="AE21" s="23">
        <v>0.05</v>
      </c>
      <c r="AF21" s="23">
        <v>0.05</v>
      </c>
      <c r="AG21" s="23">
        <v>0.02</v>
      </c>
      <c r="AH21" s="23">
        <v>0.02</v>
      </c>
      <c r="AI21" s="23">
        <v>0.02</v>
      </c>
      <c r="AJ21" s="23">
        <v>0.02</v>
      </c>
      <c r="AK21" s="23">
        <v>0.02</v>
      </c>
      <c r="AL21" s="23">
        <v>0.02</v>
      </c>
      <c r="AN21" s="46" t="s">
        <v>93</v>
      </c>
      <c r="AO21" s="67">
        <f>Main!C6</f>
        <v>2.3650000000000002</v>
      </c>
      <c r="AP21" s="49"/>
    </row>
    <row r="22" spans="1:42" ht="12.75" customHeight="1" x14ac:dyDescent="0.25">
      <c r="B22" s="1" t="s">
        <v>48</v>
      </c>
      <c r="E22" s="34"/>
      <c r="F22" s="38" t="s">
        <v>72</v>
      </c>
      <c r="G22" s="34">
        <f t="shared" ref="G22" si="48">G3/F3-1</f>
        <v>-6.0994178235557306E-2</v>
      </c>
      <c r="H22" s="23">
        <f t="shared" ref="H22:M22" si="49">H3/G3-1</f>
        <v>0.10056594175251155</v>
      </c>
      <c r="I22" s="34">
        <f t="shared" si="49"/>
        <v>-0.85204391159901782</v>
      </c>
      <c r="J22" s="23">
        <f t="shared" si="49"/>
        <v>1.8549253148492095E-2</v>
      </c>
      <c r="K22" s="34">
        <f t="shared" si="49"/>
        <v>4.8894852870698742</v>
      </c>
      <c r="L22" s="23">
        <f t="shared" si="49"/>
        <v>0.63028724875905273</v>
      </c>
      <c r="M22" s="34">
        <f t="shared" si="49"/>
        <v>-6.5935930839647328E-2</v>
      </c>
      <c r="P22" s="38" t="s">
        <v>72</v>
      </c>
      <c r="Q22" s="38" t="s">
        <v>72</v>
      </c>
      <c r="R22" s="38" t="s">
        <v>72</v>
      </c>
      <c r="S22" s="38" t="s">
        <v>72</v>
      </c>
      <c r="T22" s="38" t="s">
        <v>72</v>
      </c>
      <c r="U22" s="38" t="s">
        <v>72</v>
      </c>
      <c r="V22" s="38" t="s">
        <v>72</v>
      </c>
      <c r="W22" s="138"/>
      <c r="X22" s="38" t="s">
        <v>72</v>
      </c>
      <c r="Y22" s="38" t="s">
        <v>72</v>
      </c>
      <c r="Z22" s="38" t="s">
        <v>72</v>
      </c>
      <c r="AA22" s="38" t="s">
        <v>72</v>
      </c>
      <c r="AB22" s="38" t="s">
        <v>72</v>
      </c>
      <c r="AC22" s="38" t="s">
        <v>72</v>
      </c>
      <c r="AD22" s="38" t="s">
        <v>72</v>
      </c>
      <c r="AE22" s="38" t="s">
        <v>72</v>
      </c>
      <c r="AF22" s="38" t="s">
        <v>72</v>
      </c>
      <c r="AG22" s="38" t="s">
        <v>72</v>
      </c>
      <c r="AH22" s="38" t="s">
        <v>72</v>
      </c>
      <c r="AI22" s="38" t="s">
        <v>72</v>
      </c>
      <c r="AJ22" s="38" t="s">
        <v>72</v>
      </c>
      <c r="AK22" s="38" t="s">
        <v>72</v>
      </c>
      <c r="AL22" s="38" t="s">
        <v>72</v>
      </c>
      <c r="AN22" s="48" t="s">
        <v>94</v>
      </c>
      <c r="AO22" s="66">
        <f>AO20/AO21-1</f>
        <v>2.9818941007369681</v>
      </c>
    </row>
    <row r="23" spans="1:42" ht="12.75" customHeight="1" x14ac:dyDescent="0.2">
      <c r="E23" s="34"/>
      <c r="F23" s="38"/>
      <c r="G23" s="34"/>
      <c r="H23" s="23"/>
      <c r="I23" s="34"/>
      <c r="J23" s="23"/>
      <c r="K23" s="34"/>
      <c r="L23" s="23"/>
      <c r="M23" s="34"/>
      <c r="R23" s="38"/>
      <c r="S23" s="38"/>
      <c r="T23" s="38"/>
      <c r="U23" s="38"/>
      <c r="V23" s="38"/>
      <c r="W23" s="1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</row>
    <row r="24" spans="1:42" ht="12.75" customHeight="1" x14ac:dyDescent="0.2">
      <c r="B24" s="29" t="s">
        <v>98</v>
      </c>
      <c r="E24" s="34"/>
      <c r="F24" s="38"/>
      <c r="G24" s="34"/>
      <c r="H24" s="23"/>
      <c r="I24" s="34"/>
      <c r="J24" s="23"/>
      <c r="K24" s="34"/>
      <c r="L24" s="23"/>
      <c r="M24" s="34"/>
      <c r="R24" s="38"/>
      <c r="S24" s="38"/>
      <c r="T24" s="38"/>
      <c r="U24" s="38"/>
      <c r="V24" s="38"/>
      <c r="W24" s="1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</row>
    <row r="25" spans="1:42" s="3" customFormat="1" ht="12.75" customHeight="1" x14ac:dyDescent="0.2">
      <c r="B25" s="3" t="s">
        <v>112</v>
      </c>
      <c r="E25" s="53"/>
      <c r="F25" s="10"/>
      <c r="G25" s="53"/>
      <c r="H25" s="54"/>
      <c r="I25" s="53"/>
      <c r="J25" s="54"/>
      <c r="K25" s="53"/>
      <c r="L25" s="54"/>
      <c r="M25" s="53"/>
      <c r="P25" s="3">
        <v>54</v>
      </c>
      <c r="Q25" s="3">
        <v>58</v>
      </c>
      <c r="R25" s="10"/>
      <c r="S25" s="10">
        <f>SUM(S26:S28)</f>
        <v>60</v>
      </c>
      <c r="T25" s="10"/>
      <c r="U25" s="10">
        <f>SUM(U26:U28)</f>
        <v>64</v>
      </c>
      <c r="V25" s="10">
        <f>SUM(V26:V28)</f>
        <v>67</v>
      </c>
      <c r="W25" s="132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"/>
      <c r="AM25" s="1"/>
      <c r="AN25" s="1"/>
      <c r="AO25" s="1"/>
      <c r="AP25" s="1"/>
    </row>
    <row r="26" spans="1:42" ht="12.75" customHeight="1" x14ac:dyDescent="0.2">
      <c r="B26" s="51" t="s">
        <v>99</v>
      </c>
      <c r="E26" s="34"/>
      <c r="F26" s="38"/>
      <c r="G26" s="34"/>
      <c r="H26" s="23"/>
      <c r="I26" s="34"/>
      <c r="J26" s="23"/>
      <c r="K26" s="34"/>
      <c r="L26" s="23"/>
      <c r="M26" s="34"/>
      <c r="R26" s="38"/>
      <c r="S26" s="38">
        <v>54</v>
      </c>
      <c r="T26" s="38"/>
      <c r="U26" s="38">
        <v>56</v>
      </c>
      <c r="V26" s="38">
        <v>59</v>
      </c>
      <c r="W26" s="1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</row>
    <row r="27" spans="1:42" ht="12.75" customHeight="1" x14ac:dyDescent="0.2">
      <c r="B27" s="51" t="s">
        <v>100</v>
      </c>
      <c r="S27" s="1">
        <v>6</v>
      </c>
      <c r="U27" s="1">
        <v>5</v>
      </c>
      <c r="V27" s="1">
        <v>3</v>
      </c>
    </row>
    <row r="28" spans="1:42" ht="12.75" customHeight="1" x14ac:dyDescent="0.2">
      <c r="B28" s="51" t="s">
        <v>101</v>
      </c>
      <c r="C28" s="55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55"/>
      <c r="P28" s="55"/>
      <c r="Q28" s="55"/>
      <c r="R28" s="52"/>
      <c r="S28" s="52">
        <v>0</v>
      </c>
      <c r="T28" s="52"/>
      <c r="U28" s="52">
        <v>3</v>
      </c>
      <c r="V28" s="52">
        <v>5</v>
      </c>
      <c r="W28" s="139"/>
      <c r="X28" s="55"/>
      <c r="Y28" s="55"/>
      <c r="Z28" s="55"/>
      <c r="AA28" s="55"/>
      <c r="AB28" s="55"/>
      <c r="AC28" s="55"/>
      <c r="AD28" s="55"/>
    </row>
    <row r="29" spans="1:42" s="72" customFormat="1" ht="12.75" customHeight="1" x14ac:dyDescent="0.2">
      <c r="B29" s="73" t="s">
        <v>119</v>
      </c>
      <c r="C29" s="74"/>
      <c r="D29" s="74"/>
      <c r="E29" s="75"/>
      <c r="F29" s="74"/>
      <c r="G29" s="75"/>
      <c r="H29" s="74"/>
      <c r="I29" s="75"/>
      <c r="J29" s="74"/>
      <c r="K29" s="75"/>
      <c r="L29" s="74"/>
      <c r="M29" s="75"/>
      <c r="N29" s="74"/>
      <c r="O29" s="74" t="s">
        <v>111</v>
      </c>
      <c r="P29" s="81">
        <f>P3/P25</f>
        <v>1.9407962962962964</v>
      </c>
      <c r="Q29" s="81">
        <f t="shared" ref="Q29:V29" si="50">Q3/Q25</f>
        <v>1.9649655172413794</v>
      </c>
      <c r="R29" s="81"/>
      <c r="S29" s="81">
        <f t="shared" si="50"/>
        <v>2.1649000000000003</v>
      </c>
      <c r="T29" s="81"/>
      <c r="U29" s="81">
        <f t="shared" si="50"/>
        <v>1.12309375</v>
      </c>
      <c r="V29" s="81">
        <f t="shared" si="50"/>
        <v>2.8916567164179106</v>
      </c>
      <c r="W29" s="140"/>
      <c r="X29" s="74"/>
      <c r="Y29" s="74"/>
      <c r="Z29" s="74"/>
      <c r="AA29" s="74"/>
      <c r="AB29" s="74"/>
      <c r="AC29" s="74"/>
      <c r="AD29" s="74"/>
    </row>
    <row r="30" spans="1:42" s="3" customFormat="1" ht="12.75" customHeight="1" x14ac:dyDescent="0.2">
      <c r="B30" s="68" t="s">
        <v>117</v>
      </c>
      <c r="C30" s="69"/>
      <c r="D30" s="69"/>
      <c r="E30" s="70"/>
      <c r="F30" s="69"/>
      <c r="G30" s="70"/>
      <c r="H30" s="69"/>
      <c r="I30" s="70"/>
      <c r="J30" s="69"/>
      <c r="K30" s="70"/>
      <c r="L30" s="69"/>
      <c r="M30" s="70"/>
      <c r="N30" s="69"/>
      <c r="O30" s="69"/>
      <c r="P30" s="36">
        <v>12.1</v>
      </c>
      <c r="Q30" s="36">
        <v>13.1</v>
      </c>
      <c r="R30" s="71"/>
      <c r="S30" s="71"/>
      <c r="T30" s="71"/>
      <c r="U30" s="71"/>
      <c r="V30" s="71"/>
      <c r="W30" s="141"/>
      <c r="X30" s="69"/>
      <c r="Y30" s="69"/>
      <c r="Z30" s="69"/>
      <c r="AA30" s="69"/>
      <c r="AB30" s="69"/>
      <c r="AC30" s="69"/>
      <c r="AD30" s="69"/>
    </row>
    <row r="31" spans="1:42" s="76" customFormat="1" x14ac:dyDescent="0.2">
      <c r="B31" s="77" t="s">
        <v>118</v>
      </c>
      <c r="E31" s="78"/>
      <c r="G31" s="78"/>
      <c r="I31" s="78"/>
      <c r="K31" s="78"/>
      <c r="M31" s="78"/>
      <c r="P31" s="80">
        <f>P3/P30</f>
        <v>8.6614049586776858</v>
      </c>
      <c r="Q31" s="80">
        <f>Q3/Q30</f>
        <v>8.6998473282442745</v>
      </c>
      <c r="W31" s="79"/>
    </row>
    <row r="34" spans="1:23" x14ac:dyDescent="0.2">
      <c r="B34" s="29" t="s">
        <v>49</v>
      </c>
    </row>
    <row r="35" spans="1:23" x14ac:dyDescent="0.2">
      <c r="B35" s="1" t="s">
        <v>50</v>
      </c>
      <c r="H35" s="14">
        <v>48.180999999999997</v>
      </c>
      <c r="L35" s="14">
        <v>55.976999999999997</v>
      </c>
      <c r="M35" s="31"/>
      <c r="U35" s="14">
        <v>49.036000000000001</v>
      </c>
      <c r="V35" s="14">
        <v>68.641000000000005</v>
      </c>
      <c r="W35" s="135"/>
    </row>
    <row r="36" spans="1:23" x14ac:dyDescent="0.2">
      <c r="B36" s="1" t="s">
        <v>51</v>
      </c>
      <c r="H36" s="14">
        <v>147.39099999999999</v>
      </c>
      <c r="L36" s="14">
        <v>133.077</v>
      </c>
      <c r="M36" s="31"/>
      <c r="U36" s="14">
        <v>132.34200000000001</v>
      </c>
      <c r="V36" s="14">
        <v>147.45500000000001</v>
      </c>
      <c r="W36" s="135"/>
    </row>
    <row r="37" spans="1:23" x14ac:dyDescent="0.2">
      <c r="B37" s="1" t="s">
        <v>52</v>
      </c>
      <c r="H37" s="14">
        <v>78.364000000000004</v>
      </c>
      <c r="L37" s="14">
        <v>77.807000000000002</v>
      </c>
      <c r="M37" s="31"/>
      <c r="U37" s="14">
        <v>77.947999999999993</v>
      </c>
      <c r="V37" s="14">
        <v>81.793999999999997</v>
      </c>
      <c r="W37" s="135"/>
    </row>
    <row r="38" spans="1:23" x14ac:dyDescent="0.2">
      <c r="B38" s="1" t="s">
        <v>53</v>
      </c>
      <c r="H38" s="14">
        <v>2.93</v>
      </c>
      <c r="L38" s="14">
        <v>4.13</v>
      </c>
      <c r="M38" s="31"/>
      <c r="U38" s="14">
        <v>6.29</v>
      </c>
      <c r="V38" s="14">
        <v>1.647</v>
      </c>
      <c r="W38" s="135"/>
    </row>
    <row r="39" spans="1:23" x14ac:dyDescent="0.2">
      <c r="B39" s="1" t="s">
        <v>54</v>
      </c>
      <c r="H39" s="14">
        <f>SUM(H35:H38)</f>
        <v>276.86600000000004</v>
      </c>
      <c r="L39" s="14">
        <f>SUM(L35:L38)</f>
        <v>270.99099999999999</v>
      </c>
      <c r="M39" s="31"/>
      <c r="U39" s="14">
        <f>SUM(U35:U38)</f>
        <v>265.61600000000004</v>
      </c>
      <c r="V39" s="14">
        <f>SUM(V35:V38)</f>
        <v>299.53699999999998</v>
      </c>
      <c r="W39" s="135"/>
    </row>
    <row r="40" spans="1:23" s="3" customFormat="1" x14ac:dyDescent="0.2">
      <c r="B40" s="3" t="s">
        <v>6</v>
      </c>
      <c r="E40" s="61"/>
      <c r="G40" s="61"/>
      <c r="H40" s="12">
        <v>15.635999999999999</v>
      </c>
      <c r="I40" s="61"/>
      <c r="K40" s="61"/>
      <c r="L40" s="12">
        <v>49.576999999999998</v>
      </c>
      <c r="M40" s="30"/>
      <c r="U40" s="12">
        <v>29.942</v>
      </c>
      <c r="V40" s="12">
        <v>56.066000000000003</v>
      </c>
      <c r="W40" s="134"/>
    </row>
    <row r="41" spans="1:23" x14ac:dyDescent="0.2">
      <c r="A41" s="13"/>
      <c r="B41" s="1" t="s">
        <v>55</v>
      </c>
      <c r="H41" s="14">
        <v>2.9940000000000002</v>
      </c>
      <c r="L41" s="14">
        <v>10.474</v>
      </c>
      <c r="M41" s="31"/>
      <c r="U41" s="14">
        <v>3.3</v>
      </c>
      <c r="V41" s="14">
        <v>5.13</v>
      </c>
      <c r="W41" s="135"/>
    </row>
    <row r="42" spans="1:23" x14ac:dyDescent="0.2">
      <c r="A42" s="13"/>
      <c r="B42" s="1" t="s">
        <v>56</v>
      </c>
      <c r="H42" s="14">
        <v>1.3120000000000001</v>
      </c>
      <c r="L42" s="14">
        <v>0</v>
      </c>
      <c r="M42" s="31"/>
      <c r="U42" s="14">
        <v>0.65</v>
      </c>
      <c r="V42" s="14">
        <v>0.27100000000000002</v>
      </c>
      <c r="W42" s="135"/>
    </row>
    <row r="43" spans="1:23" x14ac:dyDescent="0.2">
      <c r="A43" s="13"/>
      <c r="B43" s="1" t="s">
        <v>57</v>
      </c>
      <c r="H43" s="14">
        <v>1.4830000000000001</v>
      </c>
      <c r="L43" s="14">
        <v>1.7390000000000001</v>
      </c>
      <c r="M43" s="31"/>
      <c r="U43" s="14">
        <v>1.4610000000000001</v>
      </c>
      <c r="V43" s="14">
        <v>2.1480000000000001</v>
      </c>
      <c r="W43" s="135"/>
    </row>
    <row r="44" spans="1:23" x14ac:dyDescent="0.2">
      <c r="B44" s="1" t="s">
        <v>58</v>
      </c>
      <c r="H44" s="14">
        <f>H39+H40+H41+H42+H43</f>
        <v>298.29100000000011</v>
      </c>
      <c r="L44" s="14">
        <f>L39+L40+L41+L42+L43</f>
        <v>332.78099999999995</v>
      </c>
      <c r="M44" s="31"/>
      <c r="U44" s="14">
        <f>SUM(U40:U43)+U39</f>
        <v>300.96900000000005</v>
      </c>
      <c r="V44" s="14">
        <f>SUM(V40:V43)+V39</f>
        <v>363.15199999999999</v>
      </c>
      <c r="W44" s="135"/>
    </row>
    <row r="45" spans="1:23" x14ac:dyDescent="0.2">
      <c r="H45" s="14"/>
      <c r="L45" s="14"/>
      <c r="M45" s="31"/>
    </row>
    <row r="46" spans="1:23" x14ac:dyDescent="0.2">
      <c r="A46" s="3"/>
      <c r="B46" s="1" t="s">
        <v>59</v>
      </c>
      <c r="H46" s="14">
        <v>11.737</v>
      </c>
      <c r="L46" s="14">
        <v>21.773</v>
      </c>
      <c r="M46" s="31"/>
      <c r="U46" s="14">
        <v>18.141999999999999</v>
      </c>
      <c r="V46" s="14">
        <v>28.681000000000001</v>
      </c>
      <c r="W46" s="135"/>
    </row>
    <row r="47" spans="1:23" x14ac:dyDescent="0.2">
      <c r="A47" s="3"/>
      <c r="B47" s="1" t="s">
        <v>60</v>
      </c>
      <c r="H47" s="14">
        <v>11.831</v>
      </c>
      <c r="L47" s="14">
        <v>11.615</v>
      </c>
      <c r="M47" s="31"/>
      <c r="U47" s="14">
        <v>13.811</v>
      </c>
      <c r="V47" s="14">
        <v>11.557</v>
      </c>
      <c r="W47" s="135"/>
    </row>
    <row r="48" spans="1:23" x14ac:dyDescent="0.2">
      <c r="A48" s="3"/>
      <c r="B48" s="1" t="s">
        <v>41</v>
      </c>
      <c r="H48" s="14">
        <v>0</v>
      </c>
      <c r="L48" s="14">
        <v>2.0670000000000002</v>
      </c>
      <c r="M48" s="31"/>
      <c r="U48" s="14">
        <v>0</v>
      </c>
      <c r="V48" s="14">
        <v>0</v>
      </c>
      <c r="W48" s="135"/>
    </row>
    <row r="49" spans="1:23" s="3" customFormat="1" x14ac:dyDescent="0.2">
      <c r="B49" s="3" t="s">
        <v>61</v>
      </c>
      <c r="E49" s="61"/>
      <c r="G49" s="61"/>
      <c r="H49" s="12">
        <v>5.38</v>
      </c>
      <c r="I49" s="61"/>
      <c r="K49" s="61"/>
      <c r="L49" s="12">
        <v>0</v>
      </c>
      <c r="M49" s="30"/>
      <c r="U49" s="12">
        <v>0</v>
      </c>
      <c r="V49" s="12">
        <v>0</v>
      </c>
      <c r="W49" s="134"/>
    </row>
    <row r="50" spans="1:23" x14ac:dyDescent="0.2">
      <c r="A50" s="3"/>
      <c r="B50" s="1" t="s">
        <v>62</v>
      </c>
      <c r="H50" s="14">
        <f>SUM(H46:H49)</f>
        <v>28.947999999999997</v>
      </c>
      <c r="L50" s="14">
        <f>SUM(L46:L49)</f>
        <v>35.454999999999998</v>
      </c>
      <c r="M50" s="31"/>
      <c r="U50" s="14">
        <f>SUM(U46:U49)</f>
        <v>31.952999999999999</v>
      </c>
      <c r="V50" s="14">
        <f>SUM(V46:V49)</f>
        <v>40.238</v>
      </c>
      <c r="W50" s="135"/>
    </row>
    <row r="51" spans="1:23" x14ac:dyDescent="0.2">
      <c r="B51" s="1" t="s">
        <v>63</v>
      </c>
      <c r="H51" s="14">
        <v>0.68700000000000006</v>
      </c>
      <c r="L51" s="14">
        <v>0.51600000000000001</v>
      </c>
      <c r="M51" s="31"/>
      <c r="U51" s="14">
        <v>0.56499999999999995</v>
      </c>
      <c r="V51" s="14">
        <v>3</v>
      </c>
      <c r="W51" s="135"/>
    </row>
    <row r="52" spans="1:23" x14ac:dyDescent="0.2">
      <c r="B52" s="1" t="s">
        <v>60</v>
      </c>
      <c r="H52" s="14">
        <v>164.32900000000001</v>
      </c>
      <c r="L52" s="14">
        <v>160.916</v>
      </c>
      <c r="M52" s="31"/>
      <c r="U52" s="14">
        <v>160.12899999999999</v>
      </c>
      <c r="V52" s="14">
        <v>176.81200000000001</v>
      </c>
      <c r="W52" s="135"/>
    </row>
    <row r="53" spans="1:23" s="3" customFormat="1" x14ac:dyDescent="0.2">
      <c r="B53" s="3" t="s">
        <v>61</v>
      </c>
      <c r="E53" s="61"/>
      <c r="G53" s="61"/>
      <c r="H53" s="12">
        <v>24.693000000000001</v>
      </c>
      <c r="I53" s="61"/>
      <c r="K53" s="61"/>
      <c r="L53" s="12">
        <v>0</v>
      </c>
      <c r="M53" s="30"/>
      <c r="U53" s="12">
        <v>0</v>
      </c>
      <c r="V53" s="12">
        <v>0</v>
      </c>
      <c r="W53" s="134"/>
    </row>
    <row r="54" spans="1:23" x14ac:dyDescent="0.2">
      <c r="A54" s="3"/>
      <c r="B54" s="1" t="s">
        <v>64</v>
      </c>
      <c r="H54" s="14">
        <v>3.8029999999999999</v>
      </c>
      <c r="L54" s="14">
        <v>3.7690000000000001</v>
      </c>
      <c r="M54" s="31"/>
      <c r="U54" s="14">
        <v>3.6349999999999998</v>
      </c>
      <c r="V54" s="14">
        <v>4.6820000000000004</v>
      </c>
      <c r="W54" s="135"/>
    </row>
    <row r="55" spans="1:23" x14ac:dyDescent="0.2">
      <c r="B55" s="1" t="s">
        <v>65</v>
      </c>
      <c r="H55" s="14">
        <f>H50+H51+H52+H53+H54</f>
        <v>222.46</v>
      </c>
      <c r="L55" s="14">
        <f>L50+L51+L52+L53+L54</f>
        <v>200.65600000000001</v>
      </c>
      <c r="M55" s="31"/>
      <c r="U55" s="14">
        <f>U50+U51+U52+U53+U54</f>
        <v>196.28199999999998</v>
      </c>
      <c r="V55" s="14">
        <f>V50+V51+V52+V53+V54</f>
        <v>224.732</v>
      </c>
      <c r="W55" s="135"/>
    </row>
    <row r="56" spans="1:23" x14ac:dyDescent="0.2">
      <c r="H56" s="14"/>
    </row>
    <row r="57" spans="1:23" x14ac:dyDescent="0.2">
      <c r="B57" s="1" t="s">
        <v>66</v>
      </c>
      <c r="H57" s="14">
        <v>75.83</v>
      </c>
      <c r="L57" s="14">
        <v>132.125</v>
      </c>
      <c r="M57" s="31"/>
      <c r="U57" s="14">
        <v>104.687</v>
      </c>
      <c r="V57" s="14">
        <v>138.41999999999999</v>
      </c>
      <c r="W57" s="135"/>
    </row>
    <row r="58" spans="1:23" x14ac:dyDescent="0.2">
      <c r="B58" s="1" t="s">
        <v>67</v>
      </c>
      <c r="H58" s="14">
        <f>H55+H57</f>
        <v>298.29000000000002</v>
      </c>
      <c r="L58" s="14">
        <f>L55+L57</f>
        <v>332.78100000000001</v>
      </c>
      <c r="M58" s="31"/>
      <c r="U58" s="14">
        <f>U57+U55</f>
        <v>300.96899999999999</v>
      </c>
      <c r="V58" s="14">
        <f>V57+V55</f>
        <v>363.15199999999999</v>
      </c>
      <c r="W58" s="135"/>
    </row>
    <row r="60" spans="1:23" x14ac:dyDescent="0.2">
      <c r="B60" s="1" t="s">
        <v>133</v>
      </c>
      <c r="H60" s="14">
        <f>H44-H55</f>
        <v>75.831000000000103</v>
      </c>
      <c r="L60" s="14">
        <f>L44-L55</f>
        <v>132.12499999999994</v>
      </c>
      <c r="M60" s="31"/>
      <c r="U60" s="14">
        <f t="shared" ref="U60:V60" si="51">U44-U55</f>
        <v>104.68700000000007</v>
      </c>
      <c r="V60" s="14">
        <f t="shared" si="51"/>
        <v>138.41999999999999</v>
      </c>
      <c r="W60" s="135"/>
    </row>
    <row r="61" spans="1:23" x14ac:dyDescent="0.2">
      <c r="A61" s="3"/>
      <c r="B61" s="1" t="s">
        <v>134</v>
      </c>
      <c r="H61" s="1">
        <f>H60/H14</f>
        <v>0.50318915060727853</v>
      </c>
      <c r="L61" s="1">
        <f>L60/L14</f>
        <v>0.77343526713555533</v>
      </c>
      <c r="U61" s="1">
        <f t="shared" ref="U61:V61" si="52">U60/U14</f>
        <v>0.63597840274765649</v>
      </c>
      <c r="V61" s="1">
        <f t="shared" si="52"/>
        <v>0.80971382354881549</v>
      </c>
    </row>
    <row r="63" spans="1:23" x14ac:dyDescent="0.2">
      <c r="B63" s="1" t="s">
        <v>6</v>
      </c>
      <c r="H63" s="14">
        <f t="shared" ref="H63" si="53">H40</f>
        <v>15.635999999999999</v>
      </c>
      <c r="L63" s="14">
        <f t="shared" ref="L63" si="54">L40</f>
        <v>49.576999999999998</v>
      </c>
      <c r="U63" s="14">
        <f t="shared" ref="U63" si="55">U40</f>
        <v>29.942</v>
      </c>
      <c r="V63" s="14">
        <f>V40</f>
        <v>56.066000000000003</v>
      </c>
      <c r="W63" s="135"/>
    </row>
    <row r="64" spans="1:23" x14ac:dyDescent="0.2">
      <c r="B64" s="1" t="s">
        <v>7</v>
      </c>
      <c r="H64" s="14">
        <f t="shared" ref="H64" si="56">H49+H53</f>
        <v>30.073</v>
      </c>
      <c r="L64" s="14">
        <f t="shared" ref="L64" si="57">L49+L53</f>
        <v>0</v>
      </c>
      <c r="U64" s="14">
        <f t="shared" ref="U64" si="58">U49+U53</f>
        <v>0</v>
      </c>
      <c r="V64" s="14">
        <f>V49+V53</f>
        <v>0</v>
      </c>
      <c r="W64" s="135"/>
    </row>
    <row r="65" spans="1:23" x14ac:dyDescent="0.2">
      <c r="B65" s="1" t="s">
        <v>8</v>
      </c>
      <c r="H65" s="14">
        <f>H63-H64</f>
        <v>-14.437000000000001</v>
      </c>
      <c r="L65" s="14">
        <f>L63-L64</f>
        <v>49.576999999999998</v>
      </c>
      <c r="U65" s="14">
        <f>U63-U64</f>
        <v>29.942</v>
      </c>
      <c r="V65" s="14">
        <f>V63-V64</f>
        <v>56.066000000000003</v>
      </c>
      <c r="W65" s="135"/>
    </row>
    <row r="67" spans="1:23" x14ac:dyDescent="0.2">
      <c r="B67" s="1" t="s">
        <v>142</v>
      </c>
      <c r="H67" s="1">
        <v>1.4767999999999999</v>
      </c>
      <c r="L67" s="1">
        <v>2.3904999999999998</v>
      </c>
      <c r="U67" s="1">
        <v>2.395</v>
      </c>
      <c r="V67" s="1">
        <v>1.8740000000000001</v>
      </c>
    </row>
    <row r="68" spans="1:23" x14ac:dyDescent="0.2">
      <c r="B68" s="1" t="s">
        <v>5</v>
      </c>
      <c r="H68" s="27">
        <f t="shared" ref="H68" si="59">H67*H14</f>
        <v>222.55491928799998</v>
      </c>
      <c r="L68" s="27">
        <f t="shared" ref="L68" si="60">L67*L14</f>
        <v>408.36618902800001</v>
      </c>
      <c r="U68" s="27">
        <f t="shared" ref="U68" si="61">U67*U14</f>
        <v>394.23565944500001</v>
      </c>
      <c r="V68" s="27">
        <f>V67*V14</f>
        <v>320.358961964</v>
      </c>
      <c r="W68" s="136"/>
    </row>
    <row r="69" spans="1:23" x14ac:dyDescent="0.2">
      <c r="B69" s="1" t="s">
        <v>9</v>
      </c>
      <c r="H69" s="27">
        <f>H68-H65</f>
        <v>236.99191928799999</v>
      </c>
      <c r="L69" s="27">
        <f>L68-L65</f>
        <v>358.78918902800001</v>
      </c>
      <c r="U69" s="27">
        <f>U68-U65</f>
        <v>364.293659445</v>
      </c>
      <c r="V69" s="27">
        <f>V68-V65</f>
        <v>264.29296196400003</v>
      </c>
      <c r="W69" s="136"/>
    </row>
    <row r="71" spans="1:23" s="94" customFormat="1" x14ac:dyDescent="0.2">
      <c r="B71" s="94" t="s">
        <v>136</v>
      </c>
      <c r="E71" s="95"/>
      <c r="G71" s="95"/>
      <c r="H71" s="94">
        <f>H67/H61</f>
        <v>2.9348804484709379</v>
      </c>
      <c r="I71" s="95"/>
      <c r="K71" s="95"/>
      <c r="L71" s="94">
        <f>L67/L61</f>
        <v>3.0907563975629149</v>
      </c>
      <c r="M71" s="95"/>
      <c r="U71" s="94">
        <f t="shared" ref="U71" si="62">U67/U61</f>
        <v>3.7658511510025101</v>
      </c>
      <c r="V71" s="94">
        <f>V67/V61</f>
        <v>2.3143979335645142</v>
      </c>
      <c r="W71" s="142"/>
    </row>
    <row r="72" spans="1:23" s="97" customFormat="1" x14ac:dyDescent="0.2">
      <c r="A72" s="96"/>
      <c r="B72" s="97" t="s">
        <v>137</v>
      </c>
      <c r="E72" s="98"/>
      <c r="G72" s="98"/>
      <c r="I72" s="98"/>
      <c r="K72" s="98"/>
      <c r="M72" s="98"/>
      <c r="U72" s="94">
        <f t="shared" ref="U72" si="63">U68/U3</f>
        <v>5.4847889402181478</v>
      </c>
      <c r="V72" s="94">
        <f>V68/V3</f>
        <v>1.6535424198491799</v>
      </c>
      <c r="W72" s="142"/>
    </row>
    <row r="73" spans="1:23" x14ac:dyDescent="0.2">
      <c r="B73" s="1" t="s">
        <v>143</v>
      </c>
      <c r="U73" s="94">
        <f t="shared" ref="U73" si="64">U69/U3</f>
        <v>5.0682219795347674</v>
      </c>
      <c r="V73" s="94">
        <f>V69/V3</f>
        <v>1.3641560741608643</v>
      </c>
      <c r="W73" s="142"/>
    </row>
    <row r="74" spans="1:23" x14ac:dyDescent="0.2">
      <c r="B74" s="1" t="s">
        <v>138</v>
      </c>
      <c r="U74" s="94">
        <f t="shared" ref="U74" si="65">U67/U13</f>
        <v>228.14563625289284</v>
      </c>
      <c r="V74" s="94">
        <f>V67/V13</f>
        <v>8.554082987476967</v>
      </c>
      <c r="W74" s="142"/>
    </row>
    <row r="75" spans="1:23" x14ac:dyDescent="0.2">
      <c r="B75" s="1" t="s">
        <v>144</v>
      </c>
      <c r="U75" s="94">
        <f t="shared" ref="U75" si="66">U69/U12</f>
        <v>210.81808995659659</v>
      </c>
      <c r="V75" s="94">
        <f>V69/V12</f>
        <v>7.0570335094924017</v>
      </c>
      <c r="W75" s="142"/>
    </row>
    <row r="76" spans="1:23" x14ac:dyDescent="0.2">
      <c r="B76" s="1" t="s">
        <v>145</v>
      </c>
    </row>
    <row r="79" spans="1:23" x14ac:dyDescent="0.2">
      <c r="A79" s="3"/>
    </row>
    <row r="80" spans="1:23" x14ac:dyDescent="0.2">
      <c r="A80" s="3"/>
    </row>
  </sheetData>
  <hyperlinks>
    <hyperlink ref="L1" r:id="rId1" xr:uid="{B9683B42-B241-4D1D-8CE0-7A17859DA76B}"/>
    <hyperlink ref="U1" r:id="rId2" xr:uid="{05878C96-F10F-4982-ACE4-FF132CF4E29A}"/>
    <hyperlink ref="S1" r:id="rId3" xr:uid="{6765EA13-C896-4C06-BD01-2D2BC5D2014C}"/>
    <hyperlink ref="H1" r:id="rId4" xr:uid="{D3D9ED60-186F-274D-93DB-4D868CA2340E}"/>
    <hyperlink ref="Q1" r:id="rId5" xr:uid="{9260496C-E59A-0143-BDFB-5C62E2643276}"/>
    <hyperlink ref="V1" r:id="rId6" xr:uid="{D7D97D6D-2030-4F4C-B5FB-6BFE0FD9DC61}"/>
  </hyperlinks>
  <pageMargins left="0.7" right="0.7" top="0.75" bottom="0.75" header="0.3" footer="0.3"/>
  <pageSetup paperSize="256" orientation="portrait" horizontalDpi="203" verticalDpi="203" r:id="rId7"/>
  <ignoredErrors>
    <ignoredError sqref="K5 K8 K10:K11 I10:I11 I8 I5 G12 G10 G8 G5 M5:M13 W12 X11:AL11" formula="1"/>
    <ignoredError sqref="W6" formulaRange="1"/>
  </ignoredErrors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workbookViewId="0">
      <selection activeCell="G41" sqref="G41"/>
    </sheetView>
  </sheetViews>
  <sheetFormatPr defaultColWidth="9.140625" defaultRowHeight="12.75" x14ac:dyDescent="0.2"/>
  <cols>
    <col min="1" max="1" width="9.140625" style="25"/>
    <col min="2" max="2" width="9.140625" style="116"/>
    <col min="3" max="17" width="9.140625" style="1"/>
    <col min="18" max="18" width="9.140625" style="116"/>
    <col min="19" max="16384" width="9.140625" style="1"/>
  </cols>
  <sheetData>
    <row r="1" spans="1:18" x14ac:dyDescent="0.2">
      <c r="A1" s="24" t="s">
        <v>19</v>
      </c>
      <c r="B1" s="100" t="s">
        <v>19</v>
      </c>
      <c r="Q1" s="28" t="s">
        <v>23</v>
      </c>
      <c r="R1" s="117" t="s">
        <v>23</v>
      </c>
    </row>
    <row r="2" spans="1:18" x14ac:dyDescent="0.2">
      <c r="A2" s="35">
        <v>44834</v>
      </c>
      <c r="B2" s="101" t="s">
        <v>68</v>
      </c>
      <c r="Q2" s="22">
        <v>44834</v>
      </c>
      <c r="R2" s="118" t="s">
        <v>68</v>
      </c>
    </row>
    <row r="3" spans="1:18" x14ac:dyDescent="0.2">
      <c r="A3" s="30">
        <v>93.568000000000012</v>
      </c>
      <c r="B3" s="102">
        <v>158.58780000000002</v>
      </c>
      <c r="Q3" s="12">
        <v>193.74100000000001</v>
      </c>
      <c r="R3" s="119">
        <v>258.76080000000002</v>
      </c>
    </row>
    <row r="4" spans="1:18" x14ac:dyDescent="0.2">
      <c r="A4" s="31">
        <v>15.750999999999999</v>
      </c>
      <c r="B4" s="103">
        <v>22.585512000000008</v>
      </c>
      <c r="Q4" s="14">
        <v>29.391999999999999</v>
      </c>
      <c r="R4" s="120">
        <v>36.226512000000007</v>
      </c>
    </row>
    <row r="5" spans="1:18" x14ac:dyDescent="0.2">
      <c r="A5" s="30">
        <v>77.817000000000007</v>
      </c>
      <c r="B5" s="104">
        <v>136.00228800000002</v>
      </c>
      <c r="Q5" s="12">
        <v>164.34900000000002</v>
      </c>
      <c r="R5" s="121">
        <v>222.534288</v>
      </c>
    </row>
    <row r="6" spans="1:18" x14ac:dyDescent="0.2">
      <c r="A6" s="31">
        <v>3.9E-2</v>
      </c>
      <c r="B6" s="103">
        <v>0.4</v>
      </c>
      <c r="Q6" s="14">
        <v>3.9E-2</v>
      </c>
      <c r="R6" s="116">
        <v>0.4</v>
      </c>
    </row>
    <row r="7" spans="1:18" x14ac:dyDescent="0.2">
      <c r="A7" s="31">
        <v>60.022999999999996</v>
      </c>
      <c r="B7" s="103">
        <v>84.6045728</v>
      </c>
      <c r="Q7" s="14">
        <v>108.93899999999999</v>
      </c>
      <c r="R7" s="120">
        <v>133.5205728</v>
      </c>
    </row>
    <row r="8" spans="1:18" x14ac:dyDescent="0.2">
      <c r="A8" s="30">
        <v>17.833000000000013</v>
      </c>
      <c r="B8" s="104">
        <v>51.797715200000027</v>
      </c>
      <c r="Q8" s="12">
        <v>55.449000000000012</v>
      </c>
      <c r="R8" s="121">
        <v>89.413715200000013</v>
      </c>
    </row>
    <row r="9" spans="1:18" x14ac:dyDescent="0.2">
      <c r="A9" s="31">
        <v>4.6049999999999986</v>
      </c>
      <c r="B9" s="103">
        <v>-1.0790000000000002</v>
      </c>
      <c r="Q9" s="14">
        <v>8.7839999999999989</v>
      </c>
      <c r="R9" s="120">
        <v>3.1</v>
      </c>
    </row>
    <row r="10" spans="1:18" x14ac:dyDescent="0.2">
      <c r="A10" s="31">
        <v>13.228000000000014</v>
      </c>
      <c r="B10" s="105">
        <v>52.876715200000028</v>
      </c>
      <c r="Q10" s="14">
        <v>46.665000000000013</v>
      </c>
      <c r="R10" s="122">
        <v>86.313715200000019</v>
      </c>
    </row>
    <row r="11" spans="1:18" x14ac:dyDescent="0.2">
      <c r="A11" s="31">
        <v>2.8020000000000005</v>
      </c>
      <c r="B11" s="103">
        <v>3.9384320000000015</v>
      </c>
      <c r="Q11" s="14">
        <v>9.2140000000000004</v>
      </c>
      <c r="R11" s="120">
        <v>10.350432000000001</v>
      </c>
    </row>
    <row r="12" spans="1:18" x14ac:dyDescent="0.2">
      <c r="A12" s="30">
        <v>10.426000000000013</v>
      </c>
      <c r="B12" s="104">
        <v>48.938283200000029</v>
      </c>
      <c r="Q12" s="12">
        <v>37.451000000000015</v>
      </c>
      <c r="R12" s="121">
        <v>75.963283200000021</v>
      </c>
    </row>
    <row r="13" spans="1:18" x14ac:dyDescent="0.2">
      <c r="A13" s="33">
        <v>6.0988847885565384E-2</v>
      </c>
      <c r="B13" s="106">
        <v>0.29730235065240646</v>
      </c>
      <c r="P13" s="23"/>
      <c r="Q13" s="26">
        <v>0.21907666815291649</v>
      </c>
      <c r="R13" s="123">
        <v>0.46148048484533777</v>
      </c>
    </row>
    <row r="14" spans="1:18" x14ac:dyDescent="0.2">
      <c r="A14" s="32">
        <v>170.949286</v>
      </c>
      <c r="B14" s="103">
        <v>164.60779099999999</v>
      </c>
      <c r="Q14" s="27">
        <v>170.949286</v>
      </c>
      <c r="R14" s="120">
        <v>164.60779099999999</v>
      </c>
    </row>
    <row r="15" spans="1:18" x14ac:dyDescent="0.2">
      <c r="B15" s="107"/>
    </row>
    <row r="16" spans="1:18" x14ac:dyDescent="0.2">
      <c r="A16" s="34">
        <v>0.83166253419972636</v>
      </c>
      <c r="B16" s="108">
        <v>0.857583546779765</v>
      </c>
      <c r="Q16" s="23">
        <v>0.84829230777171583</v>
      </c>
      <c r="R16" s="124">
        <v>0.86</v>
      </c>
    </row>
    <row r="17" spans="1:18" x14ac:dyDescent="0.2">
      <c r="A17" s="34">
        <v>0.19058866279069778</v>
      </c>
      <c r="B17" s="108">
        <v>0.32661853686096926</v>
      </c>
      <c r="Q17" s="23">
        <v>0.28620168162650139</v>
      </c>
      <c r="R17" s="124">
        <v>0.34554582919824023</v>
      </c>
    </row>
    <row r="18" spans="1:18" x14ac:dyDescent="0.2">
      <c r="A18" s="34">
        <v>0.11142698358413144</v>
      </c>
      <c r="B18" s="108">
        <v>0.3085879443437643</v>
      </c>
      <c r="Q18" s="23">
        <v>0.19330446317506367</v>
      </c>
      <c r="R18" s="124">
        <v>0.29356565291187853</v>
      </c>
    </row>
    <row r="19" spans="1:18" x14ac:dyDescent="0.2">
      <c r="A19" s="34">
        <v>0.21182340489869955</v>
      </c>
      <c r="B19" s="108">
        <v>7.4483295437383745E-2</v>
      </c>
      <c r="Q19" s="23">
        <v>0.19744990892531872</v>
      </c>
      <c r="R19" s="124">
        <v>0.11991642320130369</v>
      </c>
    </row>
    <row r="20" spans="1:18" x14ac:dyDescent="0.2">
      <c r="B20" s="107"/>
    </row>
    <row r="21" spans="1:18" x14ac:dyDescent="0.2">
      <c r="A21" s="34">
        <v>0.5227927414761171</v>
      </c>
      <c r="B21" s="108">
        <v>1.5809716006184393</v>
      </c>
      <c r="Q21" s="23">
        <v>1.6954144522663404</v>
      </c>
      <c r="R21" s="124">
        <v>2.6</v>
      </c>
    </row>
    <row r="22" spans="1:18" x14ac:dyDescent="0.2">
      <c r="A22" s="34">
        <v>-6.5935930839647328E-2</v>
      </c>
      <c r="B22" s="108">
        <v>0.58313916923721965</v>
      </c>
      <c r="Q22" s="38" t="s">
        <v>72</v>
      </c>
      <c r="R22" s="125" t="s">
        <v>72</v>
      </c>
    </row>
    <row r="23" spans="1:18" x14ac:dyDescent="0.2">
      <c r="A23" s="34"/>
      <c r="B23" s="108"/>
      <c r="Q23" s="38"/>
      <c r="R23" s="125"/>
    </row>
    <row r="24" spans="1:18" x14ac:dyDescent="0.2">
      <c r="A24" s="34"/>
      <c r="B24" s="108"/>
      <c r="Q24" s="38"/>
      <c r="R24" s="125"/>
    </row>
    <row r="25" spans="1:18" x14ac:dyDescent="0.2">
      <c r="A25" s="53"/>
      <c r="B25" s="109"/>
      <c r="Q25" s="10"/>
      <c r="R25" s="117"/>
    </row>
    <row r="26" spans="1:18" x14ac:dyDescent="0.2">
      <c r="A26" s="34"/>
      <c r="B26" s="108"/>
      <c r="Q26" s="38"/>
      <c r="R26" s="125"/>
    </row>
    <row r="27" spans="1:18" x14ac:dyDescent="0.2">
      <c r="B27" s="107"/>
    </row>
    <row r="28" spans="1:18" x14ac:dyDescent="0.2">
      <c r="A28" s="56"/>
      <c r="B28" s="110"/>
      <c r="Q28" s="52"/>
      <c r="R28" s="126"/>
    </row>
    <row r="29" spans="1:18" x14ac:dyDescent="0.2">
      <c r="A29" s="75"/>
      <c r="B29" s="111"/>
      <c r="Q29" s="81"/>
      <c r="R29" s="127"/>
    </row>
    <row r="30" spans="1:18" x14ac:dyDescent="0.2">
      <c r="A30" s="70"/>
      <c r="B30" s="112"/>
      <c r="Q30" s="71"/>
      <c r="R30" s="128"/>
    </row>
    <row r="31" spans="1:18" x14ac:dyDescent="0.2">
      <c r="A31" s="78"/>
      <c r="B31" s="113"/>
      <c r="Q31" s="76"/>
      <c r="R31" s="129"/>
    </row>
    <row r="32" spans="1:18" x14ac:dyDescent="0.2">
      <c r="B32" s="107"/>
    </row>
    <row r="33" spans="1:18" x14ac:dyDescent="0.2">
      <c r="B33" s="107"/>
    </row>
    <row r="34" spans="1:18" x14ac:dyDescent="0.2">
      <c r="B34" s="107"/>
    </row>
    <row r="35" spans="1:18" x14ac:dyDescent="0.2">
      <c r="A35" s="31"/>
      <c r="B35" s="107"/>
    </row>
    <row r="36" spans="1:18" x14ac:dyDescent="0.2">
      <c r="A36" s="31"/>
      <c r="B36" s="107"/>
    </row>
    <row r="37" spans="1:18" x14ac:dyDescent="0.2">
      <c r="A37" s="31"/>
      <c r="B37" s="107"/>
    </row>
    <row r="38" spans="1:18" x14ac:dyDescent="0.2">
      <c r="A38" s="31"/>
      <c r="B38" s="107"/>
    </row>
    <row r="39" spans="1:18" x14ac:dyDescent="0.2">
      <c r="A39" s="31"/>
      <c r="B39" s="107"/>
    </row>
    <row r="40" spans="1:18" x14ac:dyDescent="0.2">
      <c r="A40" s="30"/>
      <c r="B40" s="114"/>
      <c r="Q40" s="3"/>
      <c r="R40" s="130"/>
    </row>
    <row r="41" spans="1:18" x14ac:dyDescent="0.2">
      <c r="A41" s="31"/>
      <c r="B41" s="107"/>
    </row>
    <row r="42" spans="1:18" x14ac:dyDescent="0.2">
      <c r="A42" s="31"/>
      <c r="B42" s="107"/>
    </row>
    <row r="43" spans="1:18" x14ac:dyDescent="0.2">
      <c r="A43" s="31"/>
      <c r="B43" s="107"/>
    </row>
    <row r="44" spans="1:18" x14ac:dyDescent="0.2">
      <c r="A44" s="31"/>
      <c r="B44" s="107"/>
    </row>
    <row r="45" spans="1:18" x14ac:dyDescent="0.2">
      <c r="A45" s="31"/>
      <c r="B45" s="107"/>
    </row>
    <row r="46" spans="1:18" x14ac:dyDescent="0.2">
      <c r="A46" s="31"/>
      <c r="B46" s="107"/>
    </row>
    <row r="47" spans="1:18" x14ac:dyDescent="0.2">
      <c r="A47" s="31"/>
      <c r="B47" s="107"/>
    </row>
    <row r="48" spans="1:18" x14ac:dyDescent="0.2">
      <c r="A48" s="31"/>
      <c r="B48" s="107"/>
    </row>
    <row r="49" spans="1:18" x14ac:dyDescent="0.2">
      <c r="A49" s="30"/>
      <c r="B49" s="114"/>
      <c r="Q49" s="3"/>
      <c r="R49" s="130"/>
    </row>
    <row r="50" spans="1:18" x14ac:dyDescent="0.2">
      <c r="A50" s="31"/>
      <c r="B50" s="107"/>
    </row>
    <row r="51" spans="1:18" x14ac:dyDescent="0.2">
      <c r="A51" s="31"/>
      <c r="B51" s="107"/>
    </row>
    <row r="52" spans="1:18" x14ac:dyDescent="0.2">
      <c r="A52" s="31"/>
      <c r="B52" s="107"/>
    </row>
    <row r="53" spans="1:18" x14ac:dyDescent="0.2">
      <c r="A53" s="30"/>
      <c r="B53" s="114"/>
      <c r="Q53" s="3"/>
      <c r="R53" s="130"/>
    </row>
    <row r="54" spans="1:18" x14ac:dyDescent="0.2">
      <c r="A54" s="31"/>
      <c r="B54" s="107"/>
    </row>
    <row r="55" spans="1:18" x14ac:dyDescent="0.2">
      <c r="A55" s="31"/>
      <c r="B55" s="107"/>
    </row>
    <row r="56" spans="1:18" x14ac:dyDescent="0.2">
      <c r="B56" s="107"/>
    </row>
    <row r="57" spans="1:18" x14ac:dyDescent="0.2">
      <c r="A57" s="31"/>
      <c r="B57" s="107"/>
    </row>
    <row r="58" spans="1:18" x14ac:dyDescent="0.2">
      <c r="A58" s="31"/>
      <c r="B58" s="107"/>
    </row>
    <row r="59" spans="1:18" x14ac:dyDescent="0.2">
      <c r="B59" s="107"/>
    </row>
    <row r="60" spans="1:18" x14ac:dyDescent="0.2">
      <c r="A60" s="31"/>
      <c r="B60" s="107"/>
    </row>
    <row r="61" spans="1:18" x14ac:dyDescent="0.2">
      <c r="B61" s="107"/>
    </row>
    <row r="62" spans="1:18" x14ac:dyDescent="0.2">
      <c r="B62" s="107"/>
    </row>
    <row r="63" spans="1:18" x14ac:dyDescent="0.2">
      <c r="B63" s="107"/>
    </row>
    <row r="64" spans="1:18" x14ac:dyDescent="0.2">
      <c r="A64" s="98"/>
      <c r="B64" s="115"/>
      <c r="Q64" s="97"/>
      <c r="R64" s="131"/>
    </row>
    <row r="65" spans="2:2" x14ac:dyDescent="0.2">
      <c r="B65" s="107"/>
    </row>
    <row r="66" spans="2:2" x14ac:dyDescent="0.2">
      <c r="B66" s="107"/>
    </row>
    <row r="67" spans="2:2" x14ac:dyDescent="0.2">
      <c r="B67" s="107"/>
    </row>
    <row r="68" spans="2:2" x14ac:dyDescent="0.2">
      <c r="B68" s="107"/>
    </row>
    <row r="69" spans="2:2" x14ac:dyDescent="0.2">
      <c r="B69" s="107"/>
    </row>
    <row r="70" spans="2:2" x14ac:dyDescent="0.2">
      <c r="B70" s="107"/>
    </row>
    <row r="71" spans="2:2" x14ac:dyDescent="0.2">
      <c r="B71" s="107"/>
    </row>
    <row r="72" spans="2:2" x14ac:dyDescent="0.2">
      <c r="B72" s="107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2023-03-08T13:06:56Z</dcterms:modified>
</cp:coreProperties>
</file>