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30448B0F-896E-49F8-8DAE-0B7420C5C2A9}" xr6:coauthVersionLast="36" xr6:coauthVersionMax="47" xr10:uidLastSave="{00000000-0000-0000-0000-000000000000}"/>
  <bookViews>
    <workbookView xWindow="1440" yWindow="825" windowWidth="28800" windowHeight="12225" activeTab="1" xr2:uid="{18B12511-5A40-4110-901F-9E6EE9F0D34B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2" l="1"/>
  <c r="F38" i="2"/>
  <c r="H38" i="2"/>
  <c r="D34" i="2"/>
  <c r="F34" i="2"/>
  <c r="H34" i="2"/>
  <c r="H23" i="2"/>
  <c r="G24" i="2"/>
  <c r="F24" i="2"/>
  <c r="H24" i="2"/>
  <c r="F8" i="2"/>
  <c r="H8" i="2"/>
  <c r="H10" i="2" s="1"/>
  <c r="F21" i="2"/>
  <c r="F18" i="2"/>
  <c r="F16" i="2"/>
  <c r="F14" i="2"/>
  <c r="F13" i="2"/>
  <c r="F12" i="2"/>
  <c r="F11" i="2"/>
  <c r="F9" i="2"/>
  <c r="F7" i="2"/>
  <c r="F6" i="2"/>
  <c r="F5" i="2"/>
  <c r="F4" i="2"/>
  <c r="F2" i="2"/>
  <c r="H2" i="2"/>
  <c r="H9" i="2"/>
  <c r="H14" i="2"/>
  <c r="H13" i="2"/>
  <c r="H12" i="2"/>
  <c r="H11" i="2"/>
  <c r="H16" i="2"/>
  <c r="H18" i="2"/>
  <c r="H21" i="2"/>
  <c r="H7" i="2"/>
  <c r="H6" i="2"/>
  <c r="H5" i="2"/>
  <c r="H4" i="2"/>
  <c r="G23" i="2"/>
  <c r="I23" i="2"/>
  <c r="E28" i="2"/>
  <c r="E29" i="2" s="1"/>
  <c r="E27" i="2"/>
  <c r="E26" i="2"/>
  <c r="G29" i="2"/>
  <c r="G28" i="2"/>
  <c r="G27" i="2"/>
  <c r="G26" i="2"/>
  <c r="E20" i="2"/>
  <c r="G20" i="2"/>
  <c r="E19" i="2"/>
  <c r="E17" i="2"/>
  <c r="E15" i="2"/>
  <c r="G19" i="2"/>
  <c r="G17" i="2"/>
  <c r="G15" i="2"/>
  <c r="E10" i="2"/>
  <c r="G10" i="2"/>
  <c r="J8" i="2"/>
  <c r="K8" i="2"/>
  <c r="I8" i="2"/>
  <c r="E8" i="2"/>
  <c r="G8" i="2"/>
  <c r="D71" i="2"/>
  <c r="F71" i="2"/>
  <c r="H71" i="2"/>
  <c r="J71" i="2"/>
  <c r="I75" i="2"/>
  <c r="K75" i="2"/>
  <c r="I72" i="2"/>
  <c r="I73" i="2" s="1"/>
  <c r="K73" i="2"/>
  <c r="K72" i="2"/>
  <c r="J7" i="2"/>
  <c r="J6" i="2"/>
  <c r="J5" i="2"/>
  <c r="J4" i="2"/>
  <c r="H15" i="2" l="1"/>
  <c r="H27" i="2" s="1"/>
  <c r="H26" i="2"/>
  <c r="I24" i="2"/>
  <c r="J23" i="2"/>
  <c r="F10" i="2"/>
  <c r="O103" i="2"/>
  <c r="O104" i="2" s="1"/>
  <c r="P103" i="2"/>
  <c r="P104" i="2" s="1"/>
  <c r="K101" i="2"/>
  <c r="J101" i="2"/>
  <c r="I101" i="2"/>
  <c r="O101" i="2"/>
  <c r="R101" i="2"/>
  <c r="Q101" i="2"/>
  <c r="P101" i="2"/>
  <c r="Q92" i="2"/>
  <c r="P92" i="2"/>
  <c r="O92" i="2"/>
  <c r="K92" i="2"/>
  <c r="I92" i="2"/>
  <c r="R92" i="2"/>
  <c r="H17" i="2" l="1"/>
  <c r="H19" i="2" s="1"/>
  <c r="H28" i="2" s="1"/>
  <c r="H29" i="2" s="1"/>
  <c r="H20" i="2"/>
  <c r="F15" i="2"/>
  <c r="F26" i="2"/>
  <c r="J36" i="2"/>
  <c r="J35" i="2"/>
  <c r="J37" i="2"/>
  <c r="J38" i="2"/>
  <c r="P38" i="2"/>
  <c r="O38" i="2"/>
  <c r="R8" i="2"/>
  <c r="Q8" i="2"/>
  <c r="O8" i="2"/>
  <c r="P8" i="2"/>
  <c r="Q103" i="2"/>
  <c r="Q86" i="2"/>
  <c r="P86" i="2"/>
  <c r="O86" i="2"/>
  <c r="Q38" i="2"/>
  <c r="R38" i="2"/>
  <c r="J34" i="2"/>
  <c r="J21" i="2"/>
  <c r="J18" i="2"/>
  <c r="J16" i="2"/>
  <c r="J14" i="2"/>
  <c r="J13" i="2"/>
  <c r="J12" i="2"/>
  <c r="J11" i="2"/>
  <c r="J9" i="2"/>
  <c r="C25" i="1"/>
  <c r="Q10" i="2"/>
  <c r="Q15" i="2" s="1"/>
  <c r="Q17" i="2" s="1"/>
  <c r="Q19" i="2" s="1"/>
  <c r="Q20" i="2" s="1"/>
  <c r="C26" i="1"/>
  <c r="I68" i="2"/>
  <c r="I67" i="2"/>
  <c r="I42" i="2"/>
  <c r="I47" i="2" s="1"/>
  <c r="I52" i="2" s="1"/>
  <c r="J56" i="2"/>
  <c r="J59" i="2" s="1"/>
  <c r="I56" i="2"/>
  <c r="I59" i="2" s="1"/>
  <c r="I62" i="2" s="1"/>
  <c r="H56" i="2"/>
  <c r="H59" i="2" s="1"/>
  <c r="G56" i="2"/>
  <c r="G59" i="2" s="1"/>
  <c r="F56" i="2"/>
  <c r="F59" i="2" s="1"/>
  <c r="E56" i="2"/>
  <c r="E59" i="2" s="1"/>
  <c r="D56" i="2"/>
  <c r="D59" i="2" s="1"/>
  <c r="C56" i="2"/>
  <c r="C59" i="2" s="1"/>
  <c r="J47" i="2"/>
  <c r="J52" i="2" s="1"/>
  <c r="H47" i="2"/>
  <c r="H52" i="2" s="1"/>
  <c r="G47" i="2"/>
  <c r="G52" i="2" s="1"/>
  <c r="F47" i="2"/>
  <c r="F52" i="2" s="1"/>
  <c r="E47" i="2"/>
  <c r="E52" i="2" s="1"/>
  <c r="D47" i="2"/>
  <c r="D52" i="2" s="1"/>
  <c r="C47" i="2"/>
  <c r="C52" i="2" s="1"/>
  <c r="J2" i="2"/>
  <c r="J100" i="2"/>
  <c r="J99" i="2"/>
  <c r="J97" i="2"/>
  <c r="J91" i="2"/>
  <c r="J90" i="2"/>
  <c r="J89" i="2"/>
  <c r="J92" i="2" s="1"/>
  <c r="J85" i="2"/>
  <c r="J84" i="2"/>
  <c r="J83" i="2"/>
  <c r="J86" i="2" s="1"/>
  <c r="R103" i="2"/>
  <c r="R86" i="2"/>
  <c r="I103" i="2"/>
  <c r="F27" i="2" l="1"/>
  <c r="F17" i="2"/>
  <c r="F19" i="2" s="1"/>
  <c r="K24" i="2"/>
  <c r="K77" i="2"/>
  <c r="K76" i="2"/>
  <c r="C34" i="1"/>
  <c r="C35" i="1"/>
  <c r="R104" i="2"/>
  <c r="I64" i="2"/>
  <c r="I65" i="2" s="1"/>
  <c r="Q23" i="2"/>
  <c r="R10" i="2"/>
  <c r="R15" i="2" s="1"/>
  <c r="R17" i="2" s="1"/>
  <c r="R19" i="2" s="1"/>
  <c r="R28" i="2" s="1"/>
  <c r="R29" i="2" s="1"/>
  <c r="P10" i="2"/>
  <c r="P15" i="2" s="1"/>
  <c r="P17" i="2" s="1"/>
  <c r="P19" i="2" s="1"/>
  <c r="P20" i="2" s="1"/>
  <c r="R23" i="2"/>
  <c r="Q104" i="2"/>
  <c r="P23" i="2"/>
  <c r="R20" i="2"/>
  <c r="R27" i="2"/>
  <c r="J10" i="2"/>
  <c r="J26" i="2" s="1"/>
  <c r="O10" i="2"/>
  <c r="O15" i="2" s="1"/>
  <c r="O17" i="2" s="1"/>
  <c r="O19" i="2" s="1"/>
  <c r="O20" i="2" s="1"/>
  <c r="J24" i="2"/>
  <c r="J103" i="2"/>
  <c r="J104" i="2" s="1"/>
  <c r="Q26" i="2"/>
  <c r="I69" i="2"/>
  <c r="Q27" i="2"/>
  <c r="I104" i="2"/>
  <c r="Q28" i="2"/>
  <c r="Q29" i="2" s="1"/>
  <c r="K103" i="2"/>
  <c r="I86" i="2"/>
  <c r="K86" i="2"/>
  <c r="K68" i="2"/>
  <c r="C10" i="1" s="1"/>
  <c r="K67" i="2"/>
  <c r="C9" i="1" s="1"/>
  <c r="K56" i="2"/>
  <c r="K59" i="2" s="1"/>
  <c r="K62" i="2" s="1"/>
  <c r="K42" i="2"/>
  <c r="K47" i="2" s="1"/>
  <c r="K52" i="2" s="1"/>
  <c r="D28" i="1"/>
  <c r="C28" i="1"/>
  <c r="D7" i="1" s="1"/>
  <c r="C7" i="1"/>
  <c r="K10" i="2"/>
  <c r="K15" i="2" s="1"/>
  <c r="K17" i="2" s="1"/>
  <c r="K19" i="2" s="1"/>
  <c r="I10" i="2"/>
  <c r="K23" i="2"/>
  <c r="F28" i="2" l="1"/>
  <c r="F29" i="2" s="1"/>
  <c r="F20" i="2"/>
  <c r="J15" i="2"/>
  <c r="J27" i="2" s="1"/>
  <c r="R26" i="2"/>
  <c r="P27" i="2"/>
  <c r="P28" i="2"/>
  <c r="P29" i="2" s="1"/>
  <c r="P26" i="2"/>
  <c r="O26" i="2"/>
  <c r="O28" i="2"/>
  <c r="O29" i="2" s="1"/>
  <c r="O27" i="2"/>
  <c r="K27" i="2"/>
  <c r="J17" i="2"/>
  <c r="J19" i="2" s="1"/>
  <c r="K20" i="2"/>
  <c r="K28" i="2"/>
  <c r="K29" i="2" s="1"/>
  <c r="K69" i="2"/>
  <c r="D9" i="1"/>
  <c r="D10" i="1"/>
  <c r="K104" i="2"/>
  <c r="K26" i="2"/>
  <c r="I26" i="2"/>
  <c r="I15" i="2"/>
  <c r="K64" i="2"/>
  <c r="K65" i="2" s="1"/>
  <c r="C33" i="1" s="1"/>
  <c r="C11" i="1"/>
  <c r="C8" i="1"/>
  <c r="J28" i="2" l="1"/>
  <c r="J29" i="2" s="1"/>
  <c r="K79" i="2"/>
  <c r="C37" i="1"/>
  <c r="J20" i="2"/>
  <c r="I17" i="2"/>
  <c r="I19" i="2" s="1"/>
  <c r="I27" i="2"/>
  <c r="C12" i="1"/>
  <c r="K78" i="2" l="1"/>
  <c r="C36" i="1"/>
  <c r="I20" i="2"/>
  <c r="I28" i="2"/>
  <c r="I29" i="2" s="1"/>
</calcChain>
</file>

<file path=xl/sharedStrings.xml><?xml version="1.0" encoding="utf-8"?>
<sst xmlns="http://schemas.openxmlformats.org/spreadsheetml/2006/main" count="150" uniqueCount="132">
  <si>
    <t>£TEG</t>
  </si>
  <si>
    <t>Ten Entertainment Group Plc</t>
  </si>
  <si>
    <t>Stock Overview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</si>
  <si>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</si>
  <si>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</si>
  <si>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</si>
  <si>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</si>
  <si>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</si>
  <si>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</si>
  <si>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</si>
  <si>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</si>
  <si>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Profile</t>
  </si>
  <si>
    <t>HQ</t>
  </si>
  <si>
    <t>Founded</t>
  </si>
  <si>
    <t>Sites</t>
  </si>
  <si>
    <t>IR</t>
  </si>
  <si>
    <t>Link</t>
  </si>
  <si>
    <t>CEO/ED</t>
  </si>
  <si>
    <t>Graham Blackwell</t>
  </si>
  <si>
    <t>CFO, ED</t>
  </si>
  <si>
    <t>Antony Smith</t>
  </si>
  <si>
    <t>COO</t>
  </si>
  <si>
    <t>Bret Astle</t>
  </si>
  <si>
    <t>Cranfield, UK</t>
  </si>
  <si>
    <t>Emply.</t>
  </si>
  <si>
    <t>Key Events</t>
  </si>
  <si>
    <t>Dundee &amp; Milton Keynes site due to open in 2023</t>
  </si>
  <si>
    <t>Valuation Metrics</t>
  </si>
  <si>
    <t>P/B</t>
  </si>
  <si>
    <t>P/S</t>
  </si>
  <si>
    <t>EV/S</t>
  </si>
  <si>
    <t>P/E</t>
  </si>
  <si>
    <t>EV/E</t>
  </si>
  <si>
    <t>H122</t>
  </si>
  <si>
    <t>Revenue</t>
  </si>
  <si>
    <t>COGS</t>
  </si>
  <si>
    <t>Gross Profit</t>
  </si>
  <si>
    <t>Administrative</t>
  </si>
  <si>
    <t>Loss on JV</t>
  </si>
  <si>
    <t>Reversal of Impairment</t>
  </si>
  <si>
    <t>Exceptional Income</t>
  </si>
  <si>
    <t>Operating Profit</t>
  </si>
  <si>
    <t>Finance Costs</t>
  </si>
  <si>
    <t>Pretax Income</t>
  </si>
  <si>
    <t>Taxes</t>
  </si>
  <si>
    <t>Net Income</t>
  </si>
  <si>
    <t>EPS</t>
  </si>
  <si>
    <t>H121</t>
  </si>
  <si>
    <t>Revenue Y/Y</t>
  </si>
  <si>
    <t>Revenue H/H</t>
  </si>
  <si>
    <t>Gross Margin</t>
  </si>
  <si>
    <t>Operating Margin</t>
  </si>
  <si>
    <t>Net Margin</t>
  </si>
  <si>
    <t>Tax Rate</t>
  </si>
  <si>
    <t>Non-Finance Metrics</t>
  </si>
  <si>
    <t>Update</t>
  </si>
  <si>
    <t>Joint Ventures</t>
  </si>
  <si>
    <t>H221</t>
  </si>
  <si>
    <t>FY18</t>
  </si>
  <si>
    <t>FY19</t>
  </si>
  <si>
    <t>FY20</t>
  </si>
  <si>
    <t>FY21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</si>
  <si>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</si>
  <si>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</si>
  <si>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</si>
  <si>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</si>
  <si>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</si>
  <si>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</si>
  <si>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</si>
  <si>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</si>
  <si>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</si>
  <si>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</si>
  <si>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</si>
  <si>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£310k in 50:50 at end of FY19</t>
  </si>
  <si>
    <t>Houdini's Escape Room Ltd.</t>
  </si>
  <si>
    <t>Balance Sheet</t>
  </si>
  <si>
    <t>Goodwill+Intangibles</t>
  </si>
  <si>
    <t>Investments in JV</t>
  </si>
  <si>
    <t>PP&amp;E</t>
  </si>
  <si>
    <t>ROU</t>
  </si>
  <si>
    <t>Deferred Taxes</t>
  </si>
  <si>
    <t>Total NCA</t>
  </si>
  <si>
    <t>Inventories</t>
  </si>
  <si>
    <t>Trade &amp; A/R</t>
  </si>
  <si>
    <t>Tax Receivables</t>
  </si>
  <si>
    <t>Assets</t>
  </si>
  <si>
    <t>Trade &amp; A/P</t>
  </si>
  <si>
    <t>TCL</t>
  </si>
  <si>
    <t>Liabiltiies</t>
  </si>
  <si>
    <t>S/E</t>
  </si>
  <si>
    <t>S/E+L</t>
  </si>
  <si>
    <t>Book Value</t>
  </si>
  <si>
    <t>Book Value per Share</t>
  </si>
  <si>
    <t>Share Price</t>
  </si>
  <si>
    <t>Cashflow Statement</t>
  </si>
  <si>
    <t>Cash from Operations</t>
  </si>
  <si>
    <t>Corporation Tax Received</t>
  </si>
  <si>
    <t>Finance Costs Paid</t>
  </si>
  <si>
    <t>CFFO</t>
  </si>
  <si>
    <t>Acquisition of Sites</t>
  </si>
  <si>
    <t>Purchase of PP&amp;E</t>
  </si>
  <si>
    <t>Purchase of Software</t>
  </si>
  <si>
    <t>CFFI</t>
  </si>
  <si>
    <t>Lease Principal Payments</t>
  </si>
  <si>
    <t>Drawdown of Bank Borrowings</t>
  </si>
  <si>
    <t>Repayment of Borrowings</t>
  </si>
  <si>
    <t>CFFF</t>
  </si>
  <si>
    <t>CapEx</t>
  </si>
  <si>
    <t>FCF</t>
  </si>
  <si>
    <t>Bank Borrowings &amp; Lease</t>
  </si>
  <si>
    <t>Businesses</t>
  </si>
  <si>
    <t>H220</t>
  </si>
  <si>
    <t>H219</t>
  </si>
  <si>
    <t>H218</t>
  </si>
  <si>
    <t>H118</t>
  </si>
  <si>
    <t>H119</t>
  </si>
  <si>
    <t>H120</t>
  </si>
  <si>
    <t>Employees</t>
  </si>
  <si>
    <t>-</t>
  </si>
  <si>
    <t>Centres</t>
  </si>
  <si>
    <t>Site Staff</t>
  </si>
  <si>
    <t>Administration</t>
  </si>
  <si>
    <t>Unit Management</t>
  </si>
  <si>
    <t>Proceeds from Share Issue</t>
  </si>
  <si>
    <t>Costs from Share Issue</t>
  </si>
  <si>
    <t>Dividends Paid</t>
  </si>
  <si>
    <t>Bowling</t>
  </si>
  <si>
    <t>Food &amp; Drink</t>
  </si>
  <si>
    <t>Machines &amp; Amusements</t>
  </si>
  <si>
    <t>Other</t>
  </si>
  <si>
    <t>Investment in Joint Venture</t>
  </si>
  <si>
    <t>Cash costs from New Borrowing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</si>
</sst>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\x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8"/>
      <color theme="1" tint="0.499984740745262"/>
      <name val="Arial"/>
      <family val="2"/>
    </font>
    <font>
      <b/>
      <sz val="10"/>
      <color theme="1" tint="0.499984740745262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4" xfId="0" applyFont="1" applyFill="1" applyBorder="1"/>
    <xf numFmtId="0" fontId="1" fillId="0" borderId="0" xfId="0" applyFont="1" applyBorder="1"/>
    <xf numFmtId="0" fontId="3" fillId="3" borderId="6" xfId="0" applyFont="1" applyFill="1" applyBorder="1"/>
    <xf numFmtId="164" fontId="1" fillId="0" borderId="0" xfId="0" applyNumberFormat="1" applyFont="1" applyBorder="1"/>
    <xf numFmtId="164" fontId="1" fillId="0" borderId="7" xfId="0" applyNumberFormat="1" applyFont="1" applyBorder="1"/>
    <xf numFmtId="0" fontId="3" fillId="3" borderId="4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0" fontId="3" fillId="3" borderId="6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/>
    <xf numFmtId="16" fontId="6" fillId="0" borderId="0" xfId="0" applyNumberFormat="1" applyFont="1"/>
    <xf numFmtId="0" fontId="7" fillId="0" borderId="0" xfId="0" applyFont="1"/>
    <xf numFmtId="0" fontId="5" fillId="0" borderId="0" xfId="1" applyFont="1" applyAlignment="1">
      <alignment horizontal="right"/>
    </xf>
    <xf numFmtId="14" fontId="6" fillId="0" borderId="0" xfId="0" applyNumberFormat="1" applyFont="1"/>
    <xf numFmtId="9" fontId="3" fillId="0" borderId="0" xfId="0" applyNumberFormat="1" applyFont="1"/>
    <xf numFmtId="0" fontId="8" fillId="0" borderId="0" xfId="0" applyFont="1"/>
    <xf numFmtId="9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165" fontId="1" fillId="0" borderId="0" xfId="0" applyNumberFormat="1" applyFont="1" applyBorder="1"/>
    <xf numFmtId="16" fontId="1" fillId="4" borderId="5" xfId="0" applyNumberFormat="1" applyFont="1" applyFill="1" applyBorder="1" applyAlignment="1">
      <alignment horizontal="center"/>
    </xf>
    <xf numFmtId="164" fontId="3" fillId="0" borderId="0" xfId="0" applyNumberFormat="1" applyFont="1"/>
    <xf numFmtId="164" fontId="1" fillId="0" borderId="0" xfId="0" applyNumberFormat="1" applyFont="1"/>
    <xf numFmtId="0" fontId="1" fillId="4" borderId="6" xfId="0" applyFont="1" applyFill="1" applyBorder="1"/>
    <xf numFmtId="0" fontId="3" fillId="5" borderId="0" xfId="0" applyFont="1" applyFill="1" applyAlignment="1">
      <alignment horizontal="right"/>
    </xf>
    <xf numFmtId="0" fontId="6" fillId="5" borderId="0" xfId="0" applyFont="1" applyFill="1"/>
    <xf numFmtId="0" fontId="3" fillId="5" borderId="0" xfId="0" applyFont="1" applyFill="1"/>
    <xf numFmtId="0" fontId="1" fillId="5" borderId="0" xfId="0" applyFont="1" applyFill="1"/>
    <xf numFmtId="2" fontId="1" fillId="5" borderId="0" xfId="0" applyNumberFormat="1" applyFont="1" applyFill="1"/>
    <xf numFmtId="165" fontId="1" fillId="5" borderId="0" xfId="0" applyNumberFormat="1" applyFont="1" applyFill="1"/>
    <xf numFmtId="0" fontId="3" fillId="4" borderId="4" xfId="0" applyFont="1" applyFill="1" applyBorder="1"/>
    <xf numFmtId="0" fontId="1" fillId="4" borderId="4" xfId="0" applyFont="1" applyFill="1" applyBorder="1" applyAlignment="1">
      <alignment horizontal="left" indent="1"/>
    </xf>
    <xf numFmtId="0" fontId="9" fillId="0" borderId="0" xfId="0" applyFont="1"/>
    <xf numFmtId="0" fontId="9" fillId="5" borderId="0" xfId="0" applyFont="1" applyFill="1"/>
    <xf numFmtId="164" fontId="9" fillId="0" borderId="0" xfId="0" applyNumberFormat="1" applyFont="1"/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64" fontId="1" fillId="5" borderId="0" xfId="0" applyNumberFormat="1" applyFont="1" applyFill="1"/>
    <xf numFmtId="164" fontId="3" fillId="5" borderId="0" xfId="0" applyNumberFormat="1" applyFont="1" applyFill="1"/>
    <xf numFmtId="0" fontId="1" fillId="4" borderId="6" xfId="0" applyFont="1" applyFill="1" applyBorder="1" applyAlignment="1">
      <alignment horizontal="left" indent="1"/>
    </xf>
    <xf numFmtId="14" fontId="6" fillId="5" borderId="0" xfId="0" applyNumberFormat="1" applyFont="1" applyFill="1"/>
    <xf numFmtId="9" fontId="1" fillId="5" borderId="0" xfId="0" applyNumberFormat="1" applyFont="1" applyFill="1"/>
    <xf numFmtId="9" fontId="1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 indent="1"/>
    </xf>
    <xf numFmtId="3" fontId="9" fillId="0" borderId="0" xfId="0" applyNumberFormat="1" applyFont="1"/>
    <xf numFmtId="3" fontId="9" fillId="5" borderId="0" xfId="0" applyNumberFormat="1" applyFont="1" applyFill="1"/>
    <xf numFmtId="3" fontId="3" fillId="0" borderId="0" xfId="0" applyNumberFormat="1" applyFont="1"/>
    <xf numFmtId="3" fontId="3" fillId="5" borderId="0" xfId="0" applyNumberFormat="1" applyFont="1" applyFill="1"/>
    <xf numFmtId="164" fontId="9" fillId="0" borderId="0" xfId="0" applyNumberFormat="1" applyFont="1" applyAlignment="1">
      <alignment horizontal="left" indent="1"/>
    </xf>
    <xf numFmtId="164" fontId="9" fillId="5" borderId="0" xfId="0" applyNumberFormat="1" applyFont="1" applyFill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3" fontId="1" fillId="4" borderId="0" xfId="0" applyNumberFormat="1" applyFont="1" applyFill="1" applyBorder="1" applyAlignment="1">
      <alignment horizontal="center"/>
    </xf>
    <xf numFmtId="3" fontId="1" fillId="4" borderId="5" xfId="0" applyNumberFormat="1" applyFont="1" applyFill="1" applyBorder="1" applyAlignment="1">
      <alignment horizontal="center"/>
    </xf>
    <xf numFmtId="166" fontId="1" fillId="4" borderId="0" xfId="0" applyNumberFormat="1" applyFont="1" applyFill="1" applyBorder="1" applyAlignment="1">
      <alignment horizontal="center"/>
    </xf>
    <xf numFmtId="166" fontId="1" fillId="4" borderId="5" xfId="0" applyNumberFormat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5" fillId="4" borderId="7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166" fontId="1" fillId="0" borderId="0" xfId="0" applyNumberFormat="1" applyFont="1"/>
    <xf numFmtId="166" fontId="1" fillId="5" borderId="0" xfId="0" applyNumberFormat="1" applyFont="1" applyFill="1"/>
    <xf numFmtId="4" fontId="1" fillId="0" borderId="0" xfId="0" applyNumberFormat="1" applyFont="1"/>
    <xf numFmtId="4" fontId="1" fillId="5" borderId="0" xfId="0" applyNumberFormat="1" applyFont="1" applyFill="1"/>
    <xf numFmtId="9" fontId="3" fillId="5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368300</xdr:colOff>
      <xdr:row>0</xdr:row>
      <xdr:rowOff>88900</xdr:rowOff>
    </xdr:from>
    <xdr:to>
      <xdr:col>5</xdr:col>
      <xdr:colOff>317500</xdr:colOff>
      <xdr:row>4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E5E63D-AE7A-17F0-A15B-87674A75F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" y="88900"/>
          <a:ext cx="6477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0</xdr:row>
      <xdr:rowOff>0</xdr:rowOff>
    </xdr:from>
    <xdr:to>
      <xdr:col>11</xdr:col>
      <xdr:colOff>9525</xdr:colOff>
      <xdr:row>123</xdr:row>
      <xdr:rowOff>104775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59D08D9-148C-4C12-8747-FCB7F528FFED}"/>
            </a:ext>
          </a:extLst>
        </xdr:cNvPr>
        <xdr:cNvCxnSpPr/>
      </xdr:nvCxnSpPr>
      <xdr:spPr>
        <a:xfrm>
          <a:off x="7115175" y="0"/>
          <a:ext cx="0" cy="180784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0</xdr:row>
      <xdr:rowOff>0</xdr:rowOff>
    </xdr:from>
    <xdr:to>
      <xdr:col>18</xdr:col>
      <xdr:colOff>0</xdr:colOff>
      <xdr:row>123</xdr:row>
      <xdr:rowOff>104775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BDB451A-2F43-4C9A-89BC-76E93336F7D5}"/>
            </a:ext>
          </a:extLst>
        </xdr:cNvPr>
        <xdr:cNvCxnSpPr/>
      </xdr:nvCxnSpPr>
      <xdr:spPr>
        <a:xfrm>
          <a:off x="11372850" y="0"/>
          <a:ext cx="0" cy="180784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tegplc.co.uk/results-reports/results-centr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gplc.co.uk/files/file/download/id/134" TargetMode="External"/><Relationship Id="rId2" Type="http://schemas.openxmlformats.org/officeDocument/2006/relationships/hyperlink" Target="https://www.tegplc.co.uk/files/file/download/id/211" TargetMode="External"/><Relationship Id="rId1" Type="http://schemas.openxmlformats.org/officeDocument/2006/relationships/hyperlink" Target="https://www.tegplc.co.uk/files/file/download/id/245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egplc.co.uk/files/file/download/id/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FB80-2819-4CCA-9F78-6AC8529FFC68}">
  <dimension ref="B2:S38"/>
  <sheetViews>
    <sheetView workbookViewId="0">
      <selection activeCell="K24" sqref="K24"/>
    </sheetView>
  </sheetViews>
  <sheetFormatPr defaultColWidth="9.140625" defaultRowHeight="12.75" x14ac:dyDescent="0.2"/>
  <cols>
    <col min="1" max="16384" width="9.140625" style="1"/>
  </cols>
  <sheetData>
    <row r="2" spans="2:19" ht="15" x14ac:dyDescent="0.25">
      <c r="B2" s="2" t="s">
        <v>0</v>
      </c>
      <c r="F2"/>
    </row>
    <row r="3" spans="2:19" x14ac:dyDescent="0.2">
      <c r="B3" s="3" t="s">
        <v>1</v>
      </c>
    </row>
    <row r="5" spans="2:19" x14ac:dyDescent="0.2">
      <c r="B5" s="61" t="s">
        <v>2</v>
      </c>
      <c r="C5" s="62"/>
      <c r="D5" s="63"/>
      <c r="G5" s="61" t="s">
        <v>25</v>
      </c>
      <c r="H5" s="62"/>
      <c r="I5" s="62"/>
      <c r="J5" s="62"/>
      <c r="K5" s="62"/>
      <c r="L5" s="62"/>
      <c r="M5" s="63"/>
      <c r="Q5" s="61" t="s">
        <v>110</v>
      </c>
      <c r="R5" s="62"/>
      <c r="S5" s="63"/>
    </row>
    <row r="6" spans="2:19" x14ac:dyDescent="0.2">
      <c r="B6" s="4" t="s">
        <v>3</v>
      </c>
      <c r="C6" s="5">
        <v>2.7210000000000001</v>
      </c>
      <c r="D6" s="17"/>
      <c r="G6" s="12">
        <v>2023</v>
      </c>
      <c r="H6" s="15" t="s">
        <v>26</v>
      </c>
      <c r="I6" s="15"/>
      <c r="J6" s="15"/>
      <c r="K6" s="15"/>
      <c r="L6" s="15"/>
      <c r="M6" s="16"/>
      <c r="Q6" s="42"/>
      <c r="R6" s="10"/>
      <c r="S6" s="11"/>
    </row>
    <row r="7" spans="2:19" x14ac:dyDescent="0.2">
      <c r="B7" s="4" t="s">
        <v>4</v>
      </c>
      <c r="C7" s="30">
        <f>'Financial Model'!K21</f>
        <v>68.381495999999999</v>
      </c>
      <c r="D7" s="17" t="str">
        <f>$C$28</f>
        <v>H122</v>
      </c>
      <c r="Q7" s="42"/>
      <c r="R7" s="10"/>
      <c r="S7" s="11"/>
    </row>
    <row r="8" spans="2:19" x14ac:dyDescent="0.2">
      <c r="B8" s="4" t="s">
        <v>5</v>
      </c>
      <c r="C8" s="7">
        <f>C6*C7</f>
        <v>186.06605061600001</v>
      </c>
      <c r="D8" s="17"/>
      <c r="Q8" s="42"/>
      <c r="R8" s="10"/>
      <c r="S8" s="11"/>
    </row>
    <row r="9" spans="2:19" x14ac:dyDescent="0.2">
      <c r="B9" s="4" t="s">
        <v>6</v>
      </c>
      <c r="C9" s="7">
        <f>'Financial Model'!K67</f>
        <v>7.734</v>
      </c>
      <c r="D9" s="17" t="str">
        <f t="shared" ref="D9:D10" si="0">$C$28</f>
        <v>H122</v>
      </c>
      <c r="Q9" s="42"/>
      <c r="R9" s="10"/>
      <c r="S9" s="11"/>
    </row>
    <row r="10" spans="2:19" x14ac:dyDescent="0.2">
      <c r="B10" s="4" t="s">
        <v>7</v>
      </c>
      <c r="C10" s="7">
        <f>'Financial Model'!K68</f>
        <v>207.95099999999999</v>
      </c>
      <c r="D10" s="17" t="str">
        <f t="shared" si="0"/>
        <v>H122</v>
      </c>
      <c r="Q10" s="42"/>
      <c r="R10" s="10"/>
      <c r="S10" s="11"/>
    </row>
    <row r="11" spans="2:19" x14ac:dyDescent="0.2">
      <c r="B11" s="4" t="s">
        <v>8</v>
      </c>
      <c r="C11" s="7">
        <f>C9-C10</f>
        <v>-200.21699999999998</v>
      </c>
      <c r="D11" s="17"/>
      <c r="Q11" s="42"/>
      <c r="R11" s="10"/>
      <c r="S11" s="11"/>
    </row>
    <row r="12" spans="2:19" x14ac:dyDescent="0.2">
      <c r="B12" s="6" t="s">
        <v>9</v>
      </c>
      <c r="C12" s="8">
        <f>C8-C11</f>
        <v>386.28305061599997</v>
      </c>
      <c r="D12" s="18"/>
      <c r="Q12" s="42"/>
      <c r="R12" s="10"/>
      <c r="S12" s="11"/>
    </row>
    <row r="13" spans="2:19" x14ac:dyDescent="0.2">
      <c r="Q13" s="42"/>
      <c r="R13" s="10"/>
      <c r="S13" s="11"/>
    </row>
    <row r="14" spans="2:19" x14ac:dyDescent="0.2">
      <c r="Q14" s="42"/>
      <c r="R14" s="10"/>
      <c r="S14" s="11"/>
    </row>
    <row r="15" spans="2:19" x14ac:dyDescent="0.2">
      <c r="B15" s="61" t="s">
        <v>10</v>
      </c>
      <c r="C15" s="62"/>
      <c r="D15" s="63"/>
      <c r="Q15" s="42"/>
      <c r="R15" s="10"/>
      <c r="S15" s="11"/>
    </row>
    <row r="16" spans="2:19" x14ac:dyDescent="0.2">
      <c r="B16" s="46" t="s">
        <v>17</v>
      </c>
      <c r="C16" s="72" t="s">
        <v>18</v>
      </c>
      <c r="D16" s="73"/>
      <c r="Q16" s="50"/>
      <c r="R16" s="15"/>
      <c r="S16" s="16"/>
    </row>
    <row r="17" spans="2:19" x14ac:dyDescent="0.2">
      <c r="B17" s="46" t="s">
        <v>19</v>
      </c>
      <c r="C17" s="72" t="s">
        <v>20</v>
      </c>
      <c r="D17" s="73"/>
    </row>
    <row r="18" spans="2:19" x14ac:dyDescent="0.2">
      <c r="B18" s="46" t="s">
        <v>21</v>
      </c>
      <c r="C18" s="72" t="s">
        <v>22</v>
      </c>
      <c r="D18" s="73"/>
    </row>
    <row r="19" spans="2:19" x14ac:dyDescent="0.2">
      <c r="B19" s="47"/>
      <c r="C19" s="68"/>
      <c r="D19" s="69"/>
      <c r="Q19" s="61" t="s">
        <v>56</v>
      </c>
      <c r="R19" s="62"/>
      <c r="S19" s="63"/>
    </row>
    <row r="20" spans="2:19" x14ac:dyDescent="0.2">
      <c r="Q20" s="41" t="s">
        <v>74</v>
      </c>
      <c r="R20" s="10"/>
      <c r="S20" s="11"/>
    </row>
    <row r="21" spans="2:19" x14ac:dyDescent="0.2">
      <c r="Q21" s="42" t="s">
        <v>73</v>
      </c>
      <c r="R21" s="10"/>
      <c r="S21" s="11"/>
    </row>
    <row r="22" spans="2:19" x14ac:dyDescent="0.2">
      <c r="B22" s="61" t="s">
        <v>11</v>
      </c>
      <c r="C22" s="62"/>
      <c r="D22" s="63"/>
      <c r="Q22" s="34"/>
      <c r="R22" s="15"/>
      <c r="S22" s="16"/>
    </row>
    <row r="23" spans="2:19" x14ac:dyDescent="0.2">
      <c r="B23" s="9" t="s">
        <v>12</v>
      </c>
      <c r="C23" s="72" t="s">
        <v>23</v>
      </c>
      <c r="D23" s="73"/>
    </row>
    <row r="24" spans="2:19" x14ac:dyDescent="0.2">
      <c r="B24" s="9" t="s">
        <v>13</v>
      </c>
      <c r="C24" s="72">
        <v>2009</v>
      </c>
      <c r="D24" s="73"/>
    </row>
    <row r="25" spans="2:19" x14ac:dyDescent="0.2">
      <c r="B25" s="9" t="s">
        <v>14</v>
      </c>
      <c r="C25" s="72">
        <f>'Financial Model'!S34</f>
        <v>48</v>
      </c>
      <c r="D25" s="73"/>
    </row>
    <row r="26" spans="2:19" x14ac:dyDescent="0.2">
      <c r="B26" s="9" t="s">
        <v>24</v>
      </c>
      <c r="C26" s="64">
        <f>'Financial Model'!K38</f>
        <v>1500</v>
      </c>
      <c r="D26" s="65"/>
    </row>
    <row r="27" spans="2:19" x14ac:dyDescent="0.2">
      <c r="B27" s="9"/>
      <c r="C27" s="13"/>
      <c r="D27" s="14"/>
    </row>
    <row r="28" spans="2:19" x14ac:dyDescent="0.2">
      <c r="B28" s="9" t="s">
        <v>55</v>
      </c>
      <c r="C28" s="13" t="str">
        <f>'Financial Model'!K1</f>
        <v>H122</v>
      </c>
      <c r="D28" s="31">
        <f>'Financial Model'!K3</f>
        <v>45190</v>
      </c>
    </row>
    <row r="29" spans="2:19" x14ac:dyDescent="0.2">
      <c r="B29" s="12" t="s">
        <v>15</v>
      </c>
      <c r="C29" s="70" t="s">
        <v>16</v>
      </c>
      <c r="D29" s="71"/>
    </row>
    <row r="32" spans="2:19" x14ac:dyDescent="0.2">
      <c r="B32" s="61" t="s">
        <v>27</v>
      </c>
      <c r="C32" s="62"/>
      <c r="D32" s="63"/>
    </row>
    <row r="33" spans="2:4" x14ac:dyDescent="0.2">
      <c r="B33" s="9" t="s">
        <v>28</v>
      </c>
      <c r="C33" s="66">
        <f>C6/'Financial Model'!K65</f>
        <v>3.5367722369936718</v>
      </c>
      <c r="D33" s="67"/>
    </row>
    <row r="34" spans="2:4" x14ac:dyDescent="0.2">
      <c r="B34" s="9" t="s">
        <v>29</v>
      </c>
      <c r="C34" s="66">
        <f>C8/SUM('Financial Model'!J8:K8)</f>
        <v>1.5486275426012701</v>
      </c>
      <c r="D34" s="67"/>
    </row>
    <row r="35" spans="2:4" x14ac:dyDescent="0.2">
      <c r="B35" s="9" t="s">
        <v>30</v>
      </c>
      <c r="C35" s="66">
        <f>C12/SUM('Financial Model'!J8:K8)</f>
        <v>3.215033421967723</v>
      </c>
      <c r="D35" s="67"/>
    </row>
    <row r="36" spans="2:4" x14ac:dyDescent="0.2">
      <c r="B36" s="9" t="s">
        <v>31</v>
      </c>
      <c r="C36" s="66">
        <f>C6/SUM('Financial Model'!J20:K20)</f>
        <v>5.9823787638134727</v>
      </c>
      <c r="D36" s="67"/>
    </row>
    <row r="37" spans="2:4" x14ac:dyDescent="0.2">
      <c r="B37" s="9" t="s">
        <v>32</v>
      </c>
      <c r="C37" s="66">
        <f>C12/SUM('Financial Model'!J19:K19)</f>
        <v>12.421475677406907</v>
      </c>
      <c r="D37" s="67"/>
    </row>
    <row r="38" spans="2:4" x14ac:dyDescent="0.2">
      <c r="B38" s="12"/>
      <c r="C38" s="68"/>
      <c r="D38" s="69"/>
    </row>
  </sheetData>
  <mergeCells count="22">
    <mergeCell ref="C38:D38"/>
    <mergeCell ref="C37:D37"/>
    <mergeCell ref="C35:D35"/>
    <mergeCell ref="C34:D34"/>
    <mergeCell ref="C29:D29"/>
    <mergeCell ref="C36:D36"/>
    <mergeCell ref="Q19:S19"/>
    <mergeCell ref="Q5:S5"/>
    <mergeCell ref="C26:D26"/>
    <mergeCell ref="B32:D32"/>
    <mergeCell ref="C33:D33"/>
    <mergeCell ref="C19:D19"/>
    <mergeCell ref="B5:D5"/>
    <mergeCell ref="B15:D15"/>
    <mergeCell ref="C16:D16"/>
    <mergeCell ref="C17:D17"/>
    <mergeCell ref="C18:D18"/>
    <mergeCell ref="G5:M5"/>
    <mergeCell ref="B22:D22"/>
    <mergeCell ref="C23:D23"/>
    <mergeCell ref="C24:D24"/>
    <mergeCell ref="C25:D25"/>
  </mergeCells>
  <hyperlinks>
    <hyperlink ref="C29:D29" r:id="rId1" display="Link" xr:uid="{872569F1-2E0E-45DC-998D-58DC741E9E5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C83F-EC03-4F38-8C2B-BF6F054B4FFD}">
  <dimension ref="B1:AD10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35" sqref="P35"/>
    </sheetView>
  </sheetViews>
  <sheetFormatPr defaultRowHeight="12.75" x14ac:dyDescent="0.2"/>
  <cols>
    <col min="1" max="1" width="4.28515625" style="1" customWidth="1"/>
    <col min="2" max="2" width="26.5703125" style="1" bestFit="1" customWidth="1"/>
    <col min="3" max="3" width="9.140625" style="1"/>
    <col min="4" max="4" width="9.140625" style="38"/>
    <col min="5" max="5" width="9.140625" style="1"/>
    <col min="6" max="6" width="9.140625" style="38"/>
    <col min="7" max="7" width="9.140625" style="1"/>
    <col min="8" max="8" width="9.140625" style="38"/>
    <col min="9" max="9" width="9.140625" style="1"/>
    <col min="10" max="10" width="9.140625" style="38"/>
    <col min="11" max="16384" width="9.140625" style="1"/>
  </cols>
  <sheetData>
    <row r="1" spans="2:30" s="19" customFormat="1" x14ac:dyDescent="0.2">
      <c r="C1" s="19" t="s">
        <v>114</v>
      </c>
      <c r="D1" s="35" t="s">
        <v>113</v>
      </c>
      <c r="E1" s="19" t="s">
        <v>115</v>
      </c>
      <c r="F1" s="35" t="s">
        <v>112</v>
      </c>
      <c r="G1" s="23" t="s">
        <v>116</v>
      </c>
      <c r="H1" s="35" t="s">
        <v>111</v>
      </c>
      <c r="I1" s="19" t="s">
        <v>47</v>
      </c>
      <c r="J1" s="35" t="s">
        <v>57</v>
      </c>
      <c r="K1" s="23" t="s">
        <v>33</v>
      </c>
      <c r="O1" s="19" t="s">
        <v>58</v>
      </c>
      <c r="P1" s="23" t="s">
        <v>59</v>
      </c>
      <c r="Q1" s="19" t="s">
        <v>60</v>
      </c>
      <c r="R1" s="23" t="s">
        <v>61</v>
      </c>
      <c r="S1" s="19" t="s">
        <v>62</v>
      </c>
      <c r="T1" s="19" t="s">
        <v>62</v>
      </c>
      <c r="U1" s="19" t="s">
        <v>63</v>
      </c>
      <c r="V1" s="19" t="s">
        <v>64</v>
      </c>
      <c r="W1" s="19" t="s">
        <v>65</v>
      </c>
      <c r="X1" s="19" t="s">
        <v>66</v>
      </c>
      <c r="Y1" s="19" t="s">
        <v>67</v>
      </c>
      <c r="Z1" s="19" t="s">
        <v>68</v>
      </c>
      <c r="AA1" s="19" t="s">
        <v>69</v>
      </c>
      <c r="AB1" s="19" t="s">
        <v>70</v>
      </c>
      <c r="AC1" s="19" t="s">
        <v>71</v>
      </c>
      <c r="AD1" s="19" t="s">
        <v>72</v>
      </c>
    </row>
    <row r="2" spans="2:30" s="20" customFormat="1" x14ac:dyDescent="0.2">
      <c r="B2" s="22"/>
      <c r="D2" s="36"/>
      <c r="E2" s="24">
        <v>43645</v>
      </c>
      <c r="F2" s="51">
        <f>P2</f>
        <v>43828</v>
      </c>
      <c r="G2" s="24">
        <v>44010</v>
      </c>
      <c r="H2" s="51">
        <f>Q2</f>
        <v>44192</v>
      </c>
      <c r="I2" s="24">
        <v>44374</v>
      </c>
      <c r="J2" s="51">
        <f>R2</f>
        <v>44556</v>
      </c>
      <c r="K2" s="24">
        <v>44738</v>
      </c>
      <c r="O2" s="24">
        <v>43464</v>
      </c>
      <c r="P2" s="24">
        <v>43828</v>
      </c>
      <c r="Q2" s="24">
        <v>44192</v>
      </c>
      <c r="R2" s="24">
        <v>44556</v>
      </c>
    </row>
    <row r="3" spans="2:30" s="20" customFormat="1" x14ac:dyDescent="0.2">
      <c r="B3" s="22"/>
      <c r="D3" s="36"/>
      <c r="F3" s="36"/>
      <c r="G3" s="21">
        <v>45192</v>
      </c>
      <c r="H3" s="36"/>
      <c r="J3" s="36"/>
      <c r="K3" s="21">
        <v>45190</v>
      </c>
      <c r="P3" s="21">
        <v>45059</v>
      </c>
      <c r="R3" s="21">
        <v>45014</v>
      </c>
      <c r="S3" s="21"/>
    </row>
    <row r="4" spans="2:30" s="45" customFormat="1" x14ac:dyDescent="0.2">
      <c r="B4" s="59" t="s">
        <v>126</v>
      </c>
      <c r="D4" s="60"/>
      <c r="E4" s="45">
        <v>20.218</v>
      </c>
      <c r="F4" s="60">
        <f>P4-E4</f>
        <v>19.693999999999999</v>
      </c>
      <c r="G4" s="45">
        <v>10.555</v>
      </c>
      <c r="H4" s="60">
        <f>Q4-G4</f>
        <v>6.2749999999999986</v>
      </c>
      <c r="I4" s="45">
        <v>4.8330000000000002</v>
      </c>
      <c r="J4" s="60">
        <f>R4-I4</f>
        <v>24.942999999999998</v>
      </c>
      <c r="K4" s="45">
        <v>28.266999999999999</v>
      </c>
      <c r="O4" s="45">
        <v>36.578000000000003</v>
      </c>
      <c r="P4" s="45">
        <v>39.911999999999999</v>
      </c>
      <c r="Q4" s="45">
        <v>16.829999999999998</v>
      </c>
      <c r="R4" s="45">
        <v>29.776</v>
      </c>
    </row>
    <row r="5" spans="2:30" s="45" customFormat="1" x14ac:dyDescent="0.2">
      <c r="B5" s="59" t="s">
        <v>127</v>
      </c>
      <c r="D5" s="60"/>
      <c r="E5" s="45">
        <v>10.119</v>
      </c>
      <c r="F5" s="60">
        <f t="shared" ref="F5:F7" si="0">P5-E5</f>
        <v>11.306999999999999</v>
      </c>
      <c r="G5" s="45">
        <v>5.9260000000000002</v>
      </c>
      <c r="H5" s="60">
        <f t="shared" ref="H5:H7" si="1">Q5-G5</f>
        <v>3.9719999999999995</v>
      </c>
      <c r="I5" s="45">
        <v>2.875</v>
      </c>
      <c r="J5" s="60">
        <f t="shared" ref="J5:J7" si="2">R5-I5</f>
        <v>16.219000000000001</v>
      </c>
      <c r="K5" s="45">
        <v>17.276</v>
      </c>
      <c r="O5" s="45">
        <v>19.811</v>
      </c>
      <c r="P5" s="45">
        <v>21.425999999999998</v>
      </c>
      <c r="Q5" s="45">
        <v>9.8979999999999997</v>
      </c>
      <c r="R5" s="45">
        <v>19.094000000000001</v>
      </c>
    </row>
    <row r="6" spans="2:30" s="45" customFormat="1" x14ac:dyDescent="0.2">
      <c r="B6" s="59" t="s">
        <v>128</v>
      </c>
      <c r="D6" s="60"/>
      <c r="E6" s="45">
        <v>9.5030000000000001</v>
      </c>
      <c r="F6" s="60">
        <f t="shared" si="0"/>
        <v>10.146000000000001</v>
      </c>
      <c r="G6" s="45">
        <v>5.1689999999999996</v>
      </c>
      <c r="H6" s="60">
        <f t="shared" si="1"/>
        <v>3.1290000000000004</v>
      </c>
      <c r="I6" s="45">
        <v>2.5790000000000002</v>
      </c>
      <c r="J6" s="60">
        <f t="shared" si="2"/>
        <v>13.701000000000001</v>
      </c>
      <c r="K6" s="45">
        <v>15.143000000000001</v>
      </c>
      <c r="O6" s="45">
        <v>16.986999999999998</v>
      </c>
      <c r="P6" s="45">
        <v>19.649000000000001</v>
      </c>
      <c r="Q6" s="45">
        <v>8.298</v>
      </c>
      <c r="R6" s="45">
        <v>16.28</v>
      </c>
    </row>
    <row r="7" spans="2:30" s="45" customFormat="1" x14ac:dyDescent="0.2">
      <c r="B7" s="59" t="s">
        <v>129</v>
      </c>
      <c r="D7" s="60"/>
      <c r="E7" s="45">
        <v>1.6040000000000001</v>
      </c>
      <c r="F7" s="60">
        <f t="shared" si="0"/>
        <v>1.5309999999999997</v>
      </c>
      <c r="G7" s="45">
        <v>0.82099999999999995</v>
      </c>
      <c r="H7" s="60">
        <f t="shared" si="1"/>
        <v>0.42200000000000015</v>
      </c>
      <c r="I7" s="45">
        <v>0.32300000000000001</v>
      </c>
      <c r="J7" s="60">
        <f t="shared" si="2"/>
        <v>2.048</v>
      </c>
      <c r="K7" s="45">
        <v>2.552</v>
      </c>
      <c r="O7" s="45">
        <v>2.9740000000000002</v>
      </c>
      <c r="P7" s="45">
        <v>3.1349999999999998</v>
      </c>
      <c r="Q7" s="45">
        <v>1.2430000000000001</v>
      </c>
      <c r="R7" s="45">
        <v>2.371</v>
      </c>
    </row>
    <row r="8" spans="2:30" s="3" customFormat="1" x14ac:dyDescent="0.2">
      <c r="B8" s="3" t="s">
        <v>34</v>
      </c>
      <c r="D8" s="37"/>
      <c r="E8" s="32">
        <f>SUM(E4:E7)</f>
        <v>41.444000000000003</v>
      </c>
      <c r="F8" s="49">
        <f>SUM(F4:F7)</f>
        <v>42.677999999999997</v>
      </c>
      <c r="G8" s="32">
        <f>SUM(G4:G7)</f>
        <v>22.471000000000004</v>
      </c>
      <c r="H8" s="49">
        <f>SUM(H4:H7)</f>
        <v>13.797999999999998</v>
      </c>
      <c r="I8" s="32">
        <f>SUM(I4:I7)</f>
        <v>10.610000000000001</v>
      </c>
      <c r="J8" s="49">
        <f>SUM(J4:J7)</f>
        <v>56.911000000000001</v>
      </c>
      <c r="K8" s="32">
        <f>SUM(K4:K7)</f>
        <v>63.238</v>
      </c>
      <c r="O8" s="32">
        <f>SUM(O4:O7)</f>
        <v>76.350000000000009</v>
      </c>
      <c r="P8" s="32">
        <f>SUM(P4:P7)</f>
        <v>84.122</v>
      </c>
      <c r="Q8" s="32">
        <f>SUM(Q4:Q7)</f>
        <v>36.268999999999998</v>
      </c>
      <c r="R8" s="32">
        <f>SUM(R4:R7)</f>
        <v>67.521000000000001</v>
      </c>
    </row>
    <row r="9" spans="2:30" x14ac:dyDescent="0.2">
      <c r="B9" s="1" t="s">
        <v>35</v>
      </c>
      <c r="E9" s="33">
        <v>12.081</v>
      </c>
      <c r="F9" s="48">
        <f>P9-E9</f>
        <v>12.849</v>
      </c>
      <c r="G9" s="33">
        <v>7.4809999999999999</v>
      </c>
      <c r="H9" s="48">
        <f>Q9-G9</f>
        <v>6.6140000000000008</v>
      </c>
      <c r="I9" s="33">
        <v>4.1539999999999999</v>
      </c>
      <c r="J9" s="48">
        <f>R9-I9</f>
        <v>18.356999999999999</v>
      </c>
      <c r="K9" s="33">
        <v>19.707000000000001</v>
      </c>
      <c r="O9" s="33">
        <v>22.422999999999998</v>
      </c>
      <c r="P9" s="33">
        <v>24.93</v>
      </c>
      <c r="Q9" s="33">
        <v>14.095000000000001</v>
      </c>
      <c r="R9" s="33">
        <v>22.510999999999999</v>
      </c>
    </row>
    <row r="10" spans="2:30" s="3" customFormat="1" x14ac:dyDescent="0.2">
      <c r="B10" s="3" t="s">
        <v>36</v>
      </c>
      <c r="D10" s="37"/>
      <c r="E10" s="32">
        <f>E8-E9</f>
        <v>29.363000000000003</v>
      </c>
      <c r="F10" s="49">
        <f>F8-F9</f>
        <v>29.828999999999997</v>
      </c>
      <c r="G10" s="32">
        <f>G8-G9</f>
        <v>14.990000000000004</v>
      </c>
      <c r="H10" s="49">
        <f>H8-H9</f>
        <v>7.1839999999999975</v>
      </c>
      <c r="I10" s="32">
        <f>I8-I9</f>
        <v>6.4560000000000013</v>
      </c>
      <c r="J10" s="49">
        <f>J8-J9</f>
        <v>38.554000000000002</v>
      </c>
      <c r="K10" s="32">
        <f>K8-K9</f>
        <v>43.530999999999999</v>
      </c>
      <c r="O10" s="32">
        <f t="shared" ref="O10:Q10" si="3">O8-O9</f>
        <v>53.927000000000007</v>
      </c>
      <c r="P10" s="32">
        <f t="shared" si="3"/>
        <v>59.192</v>
      </c>
      <c r="Q10" s="32">
        <f t="shared" si="3"/>
        <v>22.173999999999999</v>
      </c>
      <c r="R10" s="32">
        <f>R8-R9</f>
        <v>45.010000000000005</v>
      </c>
    </row>
    <row r="11" spans="2:30" x14ac:dyDescent="0.2">
      <c r="B11" s="1" t="s">
        <v>37</v>
      </c>
      <c r="E11" s="33">
        <v>23.027999999999999</v>
      </c>
      <c r="F11" s="48">
        <f t="shared" ref="F11:F14" si="4">P11-E11</f>
        <v>23.581000000000003</v>
      </c>
      <c r="G11" s="33">
        <v>19.861000000000001</v>
      </c>
      <c r="H11" s="48">
        <f t="shared" ref="H11:H14" si="5">Q11-G11</f>
        <v>15.642999999999997</v>
      </c>
      <c r="I11" s="33">
        <v>14.558999999999999</v>
      </c>
      <c r="J11" s="48">
        <f t="shared" ref="J11:J18" si="6">R11-I11</f>
        <v>21.152000000000001</v>
      </c>
      <c r="K11" s="33">
        <v>24.021999999999998</v>
      </c>
      <c r="O11" s="33">
        <v>42.564999999999998</v>
      </c>
      <c r="P11" s="33">
        <v>46.609000000000002</v>
      </c>
      <c r="Q11" s="33">
        <v>35.503999999999998</v>
      </c>
      <c r="R11" s="33">
        <v>35.710999999999999</v>
      </c>
    </row>
    <row r="12" spans="2:30" x14ac:dyDescent="0.2">
      <c r="B12" s="1" t="s">
        <v>38</v>
      </c>
      <c r="E12" s="33">
        <v>0</v>
      </c>
      <c r="F12" s="48">
        <f t="shared" si="4"/>
        <v>0</v>
      </c>
      <c r="G12" s="33">
        <v>0</v>
      </c>
      <c r="H12" s="48">
        <f t="shared" si="5"/>
        <v>0</v>
      </c>
      <c r="I12" s="33">
        <v>0</v>
      </c>
      <c r="J12" s="48">
        <f t="shared" si="6"/>
        <v>0</v>
      </c>
      <c r="K12" s="33">
        <v>0.31</v>
      </c>
      <c r="O12" s="33">
        <v>0</v>
      </c>
      <c r="P12" s="33">
        <v>0</v>
      </c>
      <c r="Q12" s="33">
        <v>0</v>
      </c>
      <c r="R12" s="33">
        <v>0</v>
      </c>
    </row>
    <row r="13" spans="2:30" x14ac:dyDescent="0.2">
      <c r="B13" s="1" t="s">
        <v>39</v>
      </c>
      <c r="E13" s="33">
        <v>0</v>
      </c>
      <c r="F13" s="48">
        <f t="shared" si="4"/>
        <v>0</v>
      </c>
      <c r="G13" s="33">
        <v>0</v>
      </c>
      <c r="H13" s="48">
        <f t="shared" si="5"/>
        <v>-2.5209999999999999</v>
      </c>
      <c r="I13" s="33">
        <v>0</v>
      </c>
      <c r="J13" s="48">
        <f t="shared" si="6"/>
        <v>1.1240000000000001</v>
      </c>
      <c r="K13" s="33">
        <v>0.747</v>
      </c>
      <c r="O13" s="33">
        <v>0</v>
      </c>
      <c r="P13" s="33">
        <v>0</v>
      </c>
      <c r="Q13" s="33">
        <v>-2.5209999999999999</v>
      </c>
      <c r="R13" s="33">
        <v>1.1240000000000001</v>
      </c>
    </row>
    <row r="14" spans="2:30" x14ac:dyDescent="0.2">
      <c r="B14" s="1" t="s">
        <v>40</v>
      </c>
      <c r="E14" s="33">
        <v>0</v>
      </c>
      <c r="F14" s="48">
        <f t="shared" si="4"/>
        <v>0</v>
      </c>
      <c r="G14" s="33">
        <v>0</v>
      </c>
      <c r="H14" s="48">
        <f t="shared" si="5"/>
        <v>0</v>
      </c>
      <c r="I14" s="33">
        <v>0</v>
      </c>
      <c r="J14" s="48">
        <f t="shared" si="6"/>
        <v>0</v>
      </c>
      <c r="K14" s="33">
        <v>4.601</v>
      </c>
      <c r="O14" s="33">
        <v>0</v>
      </c>
      <c r="P14" s="33">
        <v>0</v>
      </c>
      <c r="Q14" s="33">
        <v>0</v>
      </c>
      <c r="R14" s="33">
        <v>0</v>
      </c>
    </row>
    <row r="15" spans="2:30" s="3" customFormat="1" x14ac:dyDescent="0.2">
      <c r="B15" s="3" t="s">
        <v>41</v>
      </c>
      <c r="D15" s="37"/>
      <c r="E15" s="32">
        <f>E10-E11-E12+E13+E14</f>
        <v>6.3350000000000044</v>
      </c>
      <c r="F15" s="49">
        <f>F10-F11-F12+F13+F14</f>
        <v>6.247999999999994</v>
      </c>
      <c r="G15" s="32">
        <f>G10-G11-G12+G13+G14</f>
        <v>-4.8709999999999969</v>
      </c>
      <c r="H15" s="49">
        <f>H10-H11-H12+H13+H14</f>
        <v>-10.98</v>
      </c>
      <c r="I15" s="32">
        <f>I10-I11-I12+I13+I14</f>
        <v>-8.102999999999998</v>
      </c>
      <c r="J15" s="49">
        <f>J10-J11-J12+J13+J14</f>
        <v>18.526</v>
      </c>
      <c r="K15" s="32">
        <f>K10-K11-K12+K13+K14</f>
        <v>24.547000000000001</v>
      </c>
      <c r="O15" s="32">
        <f t="shared" ref="O15:Q15" si="7">O10-O11-O12+O13+O14</f>
        <v>11.362000000000009</v>
      </c>
      <c r="P15" s="32">
        <f t="shared" si="7"/>
        <v>12.582999999999998</v>
      </c>
      <c r="Q15" s="32">
        <f t="shared" si="7"/>
        <v>-15.850999999999999</v>
      </c>
      <c r="R15" s="32">
        <f>R10-R11-R12+R13+R14</f>
        <v>10.423000000000007</v>
      </c>
    </row>
    <row r="16" spans="2:30" x14ac:dyDescent="0.2">
      <c r="B16" s="1" t="s">
        <v>42</v>
      </c>
      <c r="E16" s="33">
        <v>-0.40100000000000002</v>
      </c>
      <c r="F16" s="48">
        <f>P16-E16</f>
        <v>-0.38700000000000001</v>
      </c>
      <c r="G16" s="33">
        <v>-2.1230000000000002</v>
      </c>
      <c r="H16" s="48">
        <f>Q16-G16</f>
        <v>-3.6920000000000002</v>
      </c>
      <c r="I16" s="33">
        <v>-2.6659999999999999</v>
      </c>
      <c r="J16" s="48">
        <f t="shared" si="6"/>
        <v>-3.32</v>
      </c>
      <c r="K16" s="33">
        <v>-3.532</v>
      </c>
      <c r="O16" s="33">
        <v>-0.69299999999999995</v>
      </c>
      <c r="P16" s="33">
        <v>-0.78800000000000003</v>
      </c>
      <c r="Q16" s="33">
        <v>-5.8150000000000004</v>
      </c>
      <c r="R16" s="33">
        <v>-5.9859999999999998</v>
      </c>
    </row>
    <row r="17" spans="2:18" x14ac:dyDescent="0.2">
      <c r="B17" s="1" t="s">
        <v>43</v>
      </c>
      <c r="E17" s="33">
        <f>E15+E16</f>
        <v>5.9340000000000046</v>
      </c>
      <c r="F17" s="48">
        <f>F15+F16</f>
        <v>5.8609999999999935</v>
      </c>
      <c r="G17" s="33">
        <f>G15+G16</f>
        <v>-6.9939999999999971</v>
      </c>
      <c r="H17" s="48">
        <f>H15+H16</f>
        <v>-14.672000000000001</v>
      </c>
      <c r="I17" s="33">
        <f>I15+I16</f>
        <v>-10.768999999999998</v>
      </c>
      <c r="J17" s="48">
        <f>J15+J16</f>
        <v>15.206</v>
      </c>
      <c r="K17" s="33">
        <f>K15+K16</f>
        <v>21.015000000000001</v>
      </c>
      <c r="O17" s="33">
        <f t="shared" ref="O17" si="8">O15+O16</f>
        <v>10.669000000000009</v>
      </c>
      <c r="P17" s="33">
        <f t="shared" ref="P17" si="9">P15+P16</f>
        <v>11.794999999999998</v>
      </c>
      <c r="Q17" s="33">
        <f>Q15+Q16</f>
        <v>-21.666</v>
      </c>
      <c r="R17" s="33">
        <f>R15+R16</f>
        <v>4.4370000000000074</v>
      </c>
    </row>
    <row r="18" spans="2:18" x14ac:dyDescent="0.2">
      <c r="B18" s="1" t="s">
        <v>44</v>
      </c>
      <c r="E18" s="33">
        <v>1.2609999999999999</v>
      </c>
      <c r="F18" s="48">
        <f>P18-E18</f>
        <v>1.4970000000000001</v>
      </c>
      <c r="G18" s="33">
        <v>-0.69599999999999995</v>
      </c>
      <c r="H18" s="48">
        <f>Q18-G18</f>
        <v>-3.2229999999999999</v>
      </c>
      <c r="I18" s="33">
        <v>-1.97</v>
      </c>
      <c r="J18" s="48">
        <f t="shared" si="6"/>
        <v>2.4020000000000001</v>
      </c>
      <c r="K18" s="33">
        <v>2.7210000000000001</v>
      </c>
      <c r="O18" s="33">
        <v>2.5270000000000001</v>
      </c>
      <c r="P18" s="33">
        <v>2.758</v>
      </c>
      <c r="Q18" s="33">
        <v>-3.919</v>
      </c>
      <c r="R18" s="33">
        <v>0.432</v>
      </c>
    </row>
    <row r="19" spans="2:18" s="3" customFormat="1" x14ac:dyDescent="0.2">
      <c r="B19" s="3" t="s">
        <v>45</v>
      </c>
      <c r="D19" s="37"/>
      <c r="E19" s="32">
        <f>E17-E18</f>
        <v>4.6730000000000045</v>
      </c>
      <c r="F19" s="49">
        <f>F17-F18</f>
        <v>4.3639999999999937</v>
      </c>
      <c r="G19" s="32">
        <f>G17-G18</f>
        <v>-6.2979999999999974</v>
      </c>
      <c r="H19" s="49">
        <f>H17-H18</f>
        <v>-11.449000000000002</v>
      </c>
      <c r="I19" s="32">
        <f>I17-I18</f>
        <v>-8.7989999999999977</v>
      </c>
      <c r="J19" s="49">
        <f>J17-J18</f>
        <v>12.803999999999998</v>
      </c>
      <c r="K19" s="32">
        <f>K17-K18</f>
        <v>18.294</v>
      </c>
      <c r="O19" s="32">
        <f t="shared" ref="O19:Q19" si="10">O17-O18</f>
        <v>8.1420000000000101</v>
      </c>
      <c r="P19" s="32">
        <f t="shared" si="10"/>
        <v>9.036999999999999</v>
      </c>
      <c r="Q19" s="32">
        <f t="shared" si="10"/>
        <v>-17.747</v>
      </c>
      <c r="R19" s="32">
        <f>R17-R18</f>
        <v>4.005000000000007</v>
      </c>
    </row>
    <row r="20" spans="2:18" s="28" customFormat="1" x14ac:dyDescent="0.2">
      <c r="B20" s="28" t="s">
        <v>46</v>
      </c>
      <c r="D20" s="39"/>
      <c r="E20" s="76">
        <f>E19/E21</f>
        <v>6.8371721526206714E-2</v>
      </c>
      <c r="F20" s="77">
        <f>F19/F21</f>
        <v>6.7138461538461439E-2</v>
      </c>
      <c r="G20" s="76">
        <f>G19/G21</f>
        <v>-9.4539171002551534E-2</v>
      </c>
      <c r="H20" s="77">
        <f>H19/H21</f>
        <v>-0.16942622710892444</v>
      </c>
      <c r="I20" s="76">
        <f>I19/I21</f>
        <v>-0.12873671520202254</v>
      </c>
      <c r="J20" s="39">
        <f>J19/J21</f>
        <v>0.1873072809736924</v>
      </c>
      <c r="K20" s="28">
        <f>K19/K21</f>
        <v>0.26752851385409882</v>
      </c>
      <c r="O20" s="28">
        <f t="shared" ref="O20:P20" si="11">O19/O21</f>
        <v>0.12526153846153862</v>
      </c>
      <c r="P20" s="28">
        <f t="shared" si="11"/>
        <v>0.13903076923076921</v>
      </c>
      <c r="Q20" s="28">
        <f>Q19/Q21</f>
        <v>-0.26262619027880874</v>
      </c>
      <c r="R20" s="28">
        <f>R19/R21</f>
        <v>5.8588383341115234E-2</v>
      </c>
    </row>
    <row r="21" spans="2:18" s="29" customFormat="1" x14ac:dyDescent="0.2">
      <c r="B21" s="29" t="s">
        <v>4</v>
      </c>
      <c r="D21" s="40"/>
      <c r="E21" s="29">
        <v>68.346969999999999</v>
      </c>
      <c r="F21" s="40">
        <f>P21</f>
        <v>65</v>
      </c>
      <c r="G21" s="29">
        <v>66.617889000000005</v>
      </c>
      <c r="H21" s="40">
        <f>Q21</f>
        <v>67.575134000000006</v>
      </c>
      <c r="I21" s="33">
        <v>68.348799999999997</v>
      </c>
      <c r="J21" s="40">
        <f>R21</f>
        <v>68.358260999999999</v>
      </c>
      <c r="K21" s="29">
        <v>68.381495999999999</v>
      </c>
      <c r="O21" s="29">
        <v>65</v>
      </c>
      <c r="P21" s="29">
        <v>65</v>
      </c>
      <c r="Q21" s="29">
        <v>67.575134000000006</v>
      </c>
      <c r="R21" s="29">
        <v>68.358260999999999</v>
      </c>
    </row>
    <row r="23" spans="2:18" s="3" customFormat="1" x14ac:dyDescent="0.2">
      <c r="B23" s="3" t="s">
        <v>48</v>
      </c>
      <c r="D23" s="37"/>
      <c r="F23" s="37"/>
      <c r="G23" s="25">
        <f>G8/E8-1</f>
        <v>-0.45779847505067073</v>
      </c>
      <c r="H23" s="78">
        <f>H8/F8-1</f>
        <v>-0.67669525282346876</v>
      </c>
      <c r="I23" s="25">
        <f>I8/G8-1</f>
        <v>-0.52783587735303283</v>
      </c>
      <c r="J23" s="78">
        <f>J8/H8-1</f>
        <v>3.124583272938108</v>
      </c>
      <c r="K23" s="25">
        <f>K8/I8-1</f>
        <v>4.9602262016965124</v>
      </c>
      <c r="O23" s="25"/>
      <c r="P23" s="25">
        <f t="shared" ref="P23:Q23" si="12">P8/O8-1</f>
        <v>0.10179436804191222</v>
      </c>
      <c r="Q23" s="25">
        <f t="shared" si="12"/>
        <v>-0.56885238106559521</v>
      </c>
      <c r="R23" s="25">
        <f>R8/Q8-1</f>
        <v>0.86167250268824636</v>
      </c>
    </row>
    <row r="24" spans="2:18" s="27" customFormat="1" x14ac:dyDescent="0.2">
      <c r="B24" s="27" t="s">
        <v>49</v>
      </c>
      <c r="D24" s="52"/>
      <c r="F24" s="52">
        <f>F8/E8-1</f>
        <v>2.9775118231830877E-2</v>
      </c>
      <c r="G24" s="27">
        <f>G8/F8-1</f>
        <v>-0.47347579549182239</v>
      </c>
      <c r="H24" s="52">
        <f>H8/G8-1</f>
        <v>-0.38596413154732789</v>
      </c>
      <c r="I24" s="27">
        <f>I8/H8-1</f>
        <v>-0.23104797796782128</v>
      </c>
      <c r="J24" s="52">
        <f>J8/I8-1</f>
        <v>4.3639019792648437</v>
      </c>
      <c r="K24" s="27">
        <f>K8/J8-1</f>
        <v>0.11117358682855683</v>
      </c>
      <c r="O24" s="53" t="s">
        <v>118</v>
      </c>
      <c r="P24" s="53" t="s">
        <v>118</v>
      </c>
      <c r="Q24" s="53" t="s">
        <v>118</v>
      </c>
      <c r="R24" s="53" t="s">
        <v>118</v>
      </c>
    </row>
    <row r="26" spans="2:18" x14ac:dyDescent="0.2">
      <c r="B26" s="1" t="s">
        <v>50</v>
      </c>
      <c r="E26" s="27">
        <f>E10/E8</f>
        <v>0.70849821445806394</v>
      </c>
      <c r="F26" s="52">
        <f>F10/F8</f>
        <v>0.69893153381133133</v>
      </c>
      <c r="G26" s="27">
        <f>G10/G8</f>
        <v>0.66708201682168133</v>
      </c>
      <c r="H26" s="52">
        <f>H10/H8</f>
        <v>0.52065516741556739</v>
      </c>
      <c r="I26" s="27">
        <f>I10/I8</f>
        <v>0.60848256361922715</v>
      </c>
      <c r="J26" s="52">
        <f>J10/J8</f>
        <v>0.67744372792606</v>
      </c>
      <c r="K26" s="27">
        <f>K10/K8</f>
        <v>0.68836775356589386</v>
      </c>
      <c r="O26" s="27">
        <f t="shared" ref="O26:P26" si="13">O10/O8</f>
        <v>0.70631303208906349</v>
      </c>
      <c r="P26" s="27">
        <f t="shared" si="13"/>
        <v>0.70364470649770572</v>
      </c>
      <c r="Q26" s="27">
        <f t="shared" ref="Q26" si="14">Q10/Q8</f>
        <v>0.61137610631668915</v>
      </c>
      <c r="R26" s="27">
        <f>R10/R8</f>
        <v>0.66660742583788757</v>
      </c>
    </row>
    <row r="27" spans="2:18" x14ac:dyDescent="0.2">
      <c r="B27" s="1" t="s">
        <v>51</v>
      </c>
      <c r="E27" s="27">
        <f>E15/E8</f>
        <v>0.15285686709777058</v>
      </c>
      <c r="F27" s="52">
        <f>F15/F8</f>
        <v>0.14639861286845668</v>
      </c>
      <c r="G27" s="27">
        <f>G15/G8</f>
        <v>-0.216768279115304</v>
      </c>
      <c r="H27" s="52">
        <f>H15/H8</f>
        <v>-0.79576750253659967</v>
      </c>
      <c r="I27" s="27">
        <f>I15/I8</f>
        <v>-0.76371347785108357</v>
      </c>
      <c r="J27" s="52">
        <f>J15/J8</f>
        <v>0.32552582101878369</v>
      </c>
      <c r="K27" s="27">
        <f>K15/K8</f>
        <v>0.38816850627787092</v>
      </c>
      <c r="O27" s="27">
        <f t="shared" ref="O27:P27" si="15">O15/O8</f>
        <v>0.14881466928618214</v>
      </c>
      <c r="P27" s="27">
        <f t="shared" si="15"/>
        <v>0.14958037136539787</v>
      </c>
      <c r="Q27" s="27">
        <f t="shared" ref="Q27" si="16">Q15/Q8</f>
        <v>-0.43703989633019935</v>
      </c>
      <c r="R27" s="27">
        <f>R15/R8</f>
        <v>0.1543667895913865</v>
      </c>
    </row>
    <row r="28" spans="2:18" x14ac:dyDescent="0.2">
      <c r="B28" s="1" t="s">
        <v>52</v>
      </c>
      <c r="E28" s="27">
        <f>E19/E8</f>
        <v>0.1127545603706207</v>
      </c>
      <c r="F28" s="52">
        <f>F19/F8</f>
        <v>0.1022540887576736</v>
      </c>
      <c r="G28" s="27">
        <f>G19/G8</f>
        <v>-0.28027235103021658</v>
      </c>
      <c r="H28" s="52">
        <f>H19/H8</f>
        <v>-0.82975793593274405</v>
      </c>
      <c r="I28" s="27">
        <f>I19/I8</f>
        <v>-0.82931196983977351</v>
      </c>
      <c r="J28" s="52">
        <f>J19/J8</f>
        <v>0.22498286798685663</v>
      </c>
      <c r="K28" s="27">
        <f>K19/K8</f>
        <v>0.2892880862772384</v>
      </c>
      <c r="O28" s="27">
        <f t="shared" ref="O28:P28" si="17">O19/O8</f>
        <v>0.10664047151277026</v>
      </c>
      <c r="P28" s="27">
        <f t="shared" si="17"/>
        <v>0.1074273079574903</v>
      </c>
      <c r="Q28" s="27">
        <f t="shared" ref="Q28" si="18">Q19/Q8</f>
        <v>-0.48931594474620199</v>
      </c>
      <c r="R28" s="27">
        <f>R19/R8</f>
        <v>5.9314879815168718E-2</v>
      </c>
    </row>
    <row r="29" spans="2:18" x14ac:dyDescent="0.2">
      <c r="B29" s="1" t="s">
        <v>53</v>
      </c>
      <c r="E29" s="27">
        <f>E28/E18/E17</f>
        <v>1.5068550830296441E-2</v>
      </c>
      <c r="F29" s="52">
        <f>F28/F18/F17</f>
        <v>1.1654325970678055E-2</v>
      </c>
      <c r="G29" s="27">
        <f>G28/G18/G17</f>
        <v>-5.7576516946836347E-2</v>
      </c>
      <c r="H29" s="52">
        <f>H28/H18/H17</f>
        <v>-1.7546956155778008E-2</v>
      </c>
      <c r="I29" s="27">
        <f>I28/I18/I17</f>
        <v>-3.9090959519535236E-2</v>
      </c>
      <c r="J29" s="52">
        <f>J28/J18/J17</f>
        <v>6.1597269271873771E-3</v>
      </c>
      <c r="K29" s="27">
        <f>K28/K18/K17</f>
        <v>5.0590924103622523E-3</v>
      </c>
      <c r="O29" s="27">
        <f>O28/O18/O17</f>
        <v>3.9554245032928335E-3</v>
      </c>
      <c r="P29" s="27">
        <f>P28/P18/P17</f>
        <v>3.3023453282151893E-3</v>
      </c>
      <c r="Q29" s="27">
        <f>Q28/Q18/Q17</f>
        <v>-5.7628241241057991E-3</v>
      </c>
      <c r="R29" s="27">
        <f>R28/R18/R17</f>
        <v>3.0944999444469812E-2</v>
      </c>
    </row>
    <row r="33" spans="2:19" s="3" customFormat="1" x14ac:dyDescent="0.2">
      <c r="B33" s="26" t="s">
        <v>54</v>
      </c>
      <c r="D33" s="37"/>
      <c r="F33" s="37"/>
      <c r="H33" s="37"/>
      <c r="J33" s="37"/>
    </row>
    <row r="34" spans="2:19" x14ac:dyDescent="0.2">
      <c r="B34" s="1" t="s">
        <v>119</v>
      </c>
      <c r="D34" s="38">
        <f>O34</f>
        <v>43</v>
      </c>
      <c r="E34" s="1">
        <v>44</v>
      </c>
      <c r="F34" s="38">
        <f>P34</f>
        <v>45</v>
      </c>
      <c r="G34" s="1">
        <v>45</v>
      </c>
      <c r="H34" s="38">
        <f>Q34</f>
        <v>46</v>
      </c>
      <c r="I34" s="1">
        <v>46</v>
      </c>
      <c r="J34" s="38">
        <f>R34</f>
        <v>46</v>
      </c>
      <c r="K34" s="1">
        <v>47</v>
      </c>
      <c r="O34" s="1">
        <v>43</v>
      </c>
      <c r="P34" s="1">
        <v>45</v>
      </c>
      <c r="Q34" s="1">
        <v>46</v>
      </c>
      <c r="R34" s="1">
        <v>46</v>
      </c>
      <c r="S34" s="1">
        <v>48</v>
      </c>
    </row>
    <row r="35" spans="2:19" s="55" customFormat="1" x14ac:dyDescent="0.2">
      <c r="B35" s="54" t="s">
        <v>120</v>
      </c>
      <c r="D35" s="56"/>
      <c r="F35" s="56"/>
      <c r="H35" s="56"/>
      <c r="J35" s="56">
        <f t="shared" ref="J35:J36" si="19">R35</f>
        <v>1275</v>
      </c>
      <c r="O35" s="55">
        <v>899</v>
      </c>
      <c r="P35" s="55">
        <v>978</v>
      </c>
      <c r="Q35" s="55">
        <v>931</v>
      </c>
      <c r="R35" s="55">
        <v>1275</v>
      </c>
    </row>
    <row r="36" spans="2:19" s="55" customFormat="1" x14ac:dyDescent="0.2">
      <c r="B36" s="54" t="s">
        <v>121</v>
      </c>
      <c r="D36" s="56"/>
      <c r="F36" s="56"/>
      <c r="H36" s="56"/>
      <c r="J36" s="56">
        <f t="shared" si="19"/>
        <v>58</v>
      </c>
      <c r="O36" s="55">
        <v>56</v>
      </c>
      <c r="P36" s="55">
        <v>56</v>
      </c>
      <c r="Q36" s="55">
        <v>45</v>
      </c>
      <c r="R36" s="55">
        <v>58</v>
      </c>
    </row>
    <row r="37" spans="2:19" s="55" customFormat="1" x14ac:dyDescent="0.2">
      <c r="B37" s="54" t="s">
        <v>122</v>
      </c>
      <c r="D37" s="56"/>
      <c r="F37" s="56"/>
      <c r="H37" s="56"/>
      <c r="J37" s="56">
        <f>R37</f>
        <v>157</v>
      </c>
      <c r="O37" s="55">
        <v>127</v>
      </c>
      <c r="P37" s="55">
        <v>153</v>
      </c>
      <c r="Q37" s="55">
        <v>150</v>
      </c>
      <c r="R37" s="55">
        <v>157</v>
      </c>
    </row>
    <row r="38" spans="2:19" s="57" customFormat="1" x14ac:dyDescent="0.2">
      <c r="B38" s="57" t="s">
        <v>117</v>
      </c>
      <c r="D38" s="58">
        <f>O38</f>
        <v>1082</v>
      </c>
      <c r="F38" s="58">
        <f>P38</f>
        <v>1187</v>
      </c>
      <c r="H38" s="58">
        <f>Q38</f>
        <v>1126</v>
      </c>
      <c r="J38" s="58">
        <f>R38</f>
        <v>1490</v>
      </c>
      <c r="K38" s="57">
        <v>1500</v>
      </c>
      <c r="O38" s="57">
        <f t="shared" ref="O38:P38" si="20">SUM(O35:O37)</f>
        <v>1082</v>
      </c>
      <c r="P38" s="57">
        <f t="shared" si="20"/>
        <v>1187</v>
      </c>
      <c r="Q38" s="57">
        <f>SUM(Q35:Q37)</f>
        <v>1126</v>
      </c>
      <c r="R38" s="57">
        <f>SUM(R35:R37)</f>
        <v>1490</v>
      </c>
    </row>
    <row r="41" spans="2:19" x14ac:dyDescent="0.2">
      <c r="B41" s="26" t="s">
        <v>75</v>
      </c>
    </row>
    <row r="42" spans="2:19" x14ac:dyDescent="0.2">
      <c r="B42" s="1" t="s">
        <v>76</v>
      </c>
      <c r="I42" s="33">
        <f>29.35+0.355</f>
        <v>29.705000000000002</v>
      </c>
      <c r="K42" s="33">
        <f>29.74+0.195</f>
        <v>29.934999999999999</v>
      </c>
    </row>
    <row r="43" spans="2:19" x14ac:dyDescent="0.2">
      <c r="B43" s="1" t="s">
        <v>77</v>
      </c>
      <c r="I43" s="33">
        <v>0.31</v>
      </c>
      <c r="K43" s="33">
        <v>0</v>
      </c>
    </row>
    <row r="44" spans="2:19" x14ac:dyDescent="0.2">
      <c r="B44" s="1" t="s">
        <v>78</v>
      </c>
      <c r="I44" s="33">
        <v>38.566000000000003</v>
      </c>
      <c r="K44" s="33">
        <v>42.151000000000003</v>
      </c>
    </row>
    <row r="45" spans="2:19" x14ac:dyDescent="0.2">
      <c r="B45" s="1" t="s">
        <v>79</v>
      </c>
      <c r="I45" s="33">
        <v>156.559</v>
      </c>
      <c r="K45" s="33">
        <v>173.00899999999999</v>
      </c>
    </row>
    <row r="46" spans="2:19" x14ac:dyDescent="0.2">
      <c r="B46" s="1" t="s">
        <v>80</v>
      </c>
      <c r="I46" s="33">
        <v>6.0880000000000001</v>
      </c>
      <c r="K46" s="33">
        <v>4.2320000000000002</v>
      </c>
    </row>
    <row r="47" spans="2:19" x14ac:dyDescent="0.2">
      <c r="B47" s="1" t="s">
        <v>81</v>
      </c>
      <c r="C47" s="1">
        <f t="shared" ref="C47:J47" si="21">SUM(C42:C46)</f>
        <v>0</v>
      </c>
      <c r="D47" s="38">
        <f t="shared" si="21"/>
        <v>0</v>
      </c>
      <c r="E47" s="1">
        <f t="shared" si="21"/>
        <v>0</v>
      </c>
      <c r="F47" s="38">
        <f t="shared" si="21"/>
        <v>0</v>
      </c>
      <c r="G47" s="1">
        <f t="shared" si="21"/>
        <v>0</v>
      </c>
      <c r="H47" s="38">
        <f t="shared" si="21"/>
        <v>0</v>
      </c>
      <c r="I47" s="33">
        <f t="shared" si="21"/>
        <v>231.22799999999998</v>
      </c>
      <c r="J47" s="38">
        <f t="shared" si="21"/>
        <v>0</v>
      </c>
      <c r="K47" s="33">
        <f>SUM(K42:K46)</f>
        <v>249.32699999999997</v>
      </c>
    </row>
    <row r="48" spans="2:19" s="3" customFormat="1" x14ac:dyDescent="0.2">
      <c r="B48" s="3" t="s">
        <v>82</v>
      </c>
      <c r="D48" s="37"/>
      <c r="F48" s="37"/>
      <c r="H48" s="37"/>
      <c r="I48" s="32">
        <v>1.05</v>
      </c>
      <c r="J48" s="37"/>
      <c r="K48" s="32">
        <v>1.25</v>
      </c>
    </row>
    <row r="49" spans="2:11" x14ac:dyDescent="0.2">
      <c r="B49" s="1" t="s">
        <v>83</v>
      </c>
      <c r="I49" s="33">
        <v>1.194</v>
      </c>
      <c r="K49" s="33">
        <v>14.776999999999999</v>
      </c>
    </row>
    <row r="50" spans="2:11" s="3" customFormat="1" x14ac:dyDescent="0.2">
      <c r="B50" s="3" t="s">
        <v>6</v>
      </c>
      <c r="D50" s="37"/>
      <c r="F50" s="37"/>
      <c r="H50" s="37"/>
      <c r="I50" s="32">
        <v>17.103000000000002</v>
      </c>
      <c r="J50" s="37"/>
      <c r="K50" s="32">
        <v>7.734</v>
      </c>
    </row>
    <row r="51" spans="2:11" x14ac:dyDescent="0.2">
      <c r="B51" s="1" t="s">
        <v>84</v>
      </c>
      <c r="I51" s="33">
        <v>0.01</v>
      </c>
      <c r="K51" s="33">
        <v>0.314</v>
      </c>
    </row>
    <row r="52" spans="2:11" x14ac:dyDescent="0.2">
      <c r="B52" s="1" t="s">
        <v>85</v>
      </c>
      <c r="C52" s="1">
        <f t="shared" ref="C52:J52" si="22">C47+SUM(C48:C51)</f>
        <v>0</v>
      </c>
      <c r="D52" s="38">
        <f t="shared" si="22"/>
        <v>0</v>
      </c>
      <c r="E52" s="1">
        <f t="shared" si="22"/>
        <v>0</v>
      </c>
      <c r="F52" s="38">
        <f t="shared" si="22"/>
        <v>0</v>
      </c>
      <c r="G52" s="1">
        <f t="shared" si="22"/>
        <v>0</v>
      </c>
      <c r="H52" s="38">
        <f t="shared" si="22"/>
        <v>0</v>
      </c>
      <c r="I52" s="33">
        <f t="shared" si="22"/>
        <v>250.58499999999998</v>
      </c>
      <c r="J52" s="38">
        <f t="shared" si="22"/>
        <v>0</v>
      </c>
      <c r="K52" s="33">
        <f>K47+SUM(K48:K51)</f>
        <v>273.40199999999999</v>
      </c>
    </row>
    <row r="53" spans="2:11" x14ac:dyDescent="0.2">
      <c r="I53" s="33"/>
      <c r="K53" s="33"/>
    </row>
    <row r="54" spans="2:11" s="3" customFormat="1" x14ac:dyDescent="0.2">
      <c r="B54" s="3" t="s">
        <v>109</v>
      </c>
      <c r="D54" s="37"/>
      <c r="F54" s="37"/>
      <c r="H54" s="37"/>
      <c r="I54" s="32">
        <v>43.871000000000002</v>
      </c>
      <c r="J54" s="37"/>
      <c r="K54" s="32">
        <v>17.963999999999999</v>
      </c>
    </row>
    <row r="55" spans="2:11" x14ac:dyDescent="0.2">
      <c r="B55" s="1" t="s">
        <v>86</v>
      </c>
      <c r="I55" s="33">
        <v>12.833</v>
      </c>
      <c r="K55" s="33">
        <v>10.568</v>
      </c>
    </row>
    <row r="56" spans="2:11" x14ac:dyDescent="0.2">
      <c r="B56" s="1" t="s">
        <v>87</v>
      </c>
      <c r="C56" s="1">
        <f t="shared" ref="C56:J56" si="23">C54+C55</f>
        <v>0</v>
      </c>
      <c r="D56" s="38">
        <f t="shared" si="23"/>
        <v>0</v>
      </c>
      <c r="E56" s="1">
        <f t="shared" si="23"/>
        <v>0</v>
      </c>
      <c r="F56" s="38">
        <f t="shared" si="23"/>
        <v>0</v>
      </c>
      <c r="G56" s="1">
        <f t="shared" si="23"/>
        <v>0</v>
      </c>
      <c r="H56" s="38">
        <f t="shared" si="23"/>
        <v>0</v>
      </c>
      <c r="I56" s="33">
        <f t="shared" si="23"/>
        <v>56.704000000000001</v>
      </c>
      <c r="J56" s="38">
        <f t="shared" si="23"/>
        <v>0</v>
      </c>
      <c r="K56" s="33">
        <f>K54+K55</f>
        <v>28.531999999999996</v>
      </c>
    </row>
    <row r="57" spans="2:11" s="3" customFormat="1" x14ac:dyDescent="0.2">
      <c r="B57" s="3" t="s">
        <v>109</v>
      </c>
      <c r="D57" s="37"/>
      <c r="F57" s="37"/>
      <c r="H57" s="37"/>
      <c r="I57" s="32">
        <v>171.18199999999999</v>
      </c>
      <c r="J57" s="37"/>
      <c r="K57" s="32">
        <v>189.98699999999999</v>
      </c>
    </row>
    <row r="58" spans="2:11" x14ac:dyDescent="0.2">
      <c r="B58" s="1" t="s">
        <v>80</v>
      </c>
      <c r="I58" s="33">
        <v>1.5820000000000001</v>
      </c>
      <c r="K58" s="33">
        <v>2.274</v>
      </c>
    </row>
    <row r="59" spans="2:11" x14ac:dyDescent="0.2">
      <c r="B59" s="1" t="s">
        <v>88</v>
      </c>
      <c r="C59" s="1">
        <f t="shared" ref="C59:J59" si="24">C56+SUM(C57:C58)</f>
        <v>0</v>
      </c>
      <c r="D59" s="38">
        <f t="shared" si="24"/>
        <v>0</v>
      </c>
      <c r="E59" s="1">
        <f t="shared" si="24"/>
        <v>0</v>
      </c>
      <c r="F59" s="38">
        <f t="shared" si="24"/>
        <v>0</v>
      </c>
      <c r="G59" s="1">
        <f t="shared" si="24"/>
        <v>0</v>
      </c>
      <c r="H59" s="38">
        <f t="shared" si="24"/>
        <v>0</v>
      </c>
      <c r="I59" s="33">
        <f t="shared" si="24"/>
        <v>229.46799999999999</v>
      </c>
      <c r="J59" s="38">
        <f t="shared" si="24"/>
        <v>0</v>
      </c>
      <c r="K59" s="33">
        <f>K56+SUM(K57:K58)</f>
        <v>220.79300000000001</v>
      </c>
    </row>
    <row r="60" spans="2:11" x14ac:dyDescent="0.2">
      <c r="I60" s="33"/>
      <c r="K60" s="33"/>
    </row>
    <row r="61" spans="2:11" x14ac:dyDescent="0.2">
      <c r="B61" s="1" t="s">
        <v>89</v>
      </c>
      <c r="I61" s="33">
        <v>21.117000000000001</v>
      </c>
      <c r="K61" s="33">
        <v>52.609000000000002</v>
      </c>
    </row>
    <row r="62" spans="2:11" x14ac:dyDescent="0.2">
      <c r="B62" s="1" t="s">
        <v>90</v>
      </c>
      <c r="I62" s="33">
        <f>I61+I59</f>
        <v>250.58499999999998</v>
      </c>
      <c r="K62" s="33">
        <f>K61+K59</f>
        <v>273.40199999999999</v>
      </c>
    </row>
    <row r="64" spans="2:11" x14ac:dyDescent="0.2">
      <c r="B64" s="1" t="s">
        <v>91</v>
      </c>
      <c r="I64" s="33">
        <f>I52-I59</f>
        <v>21.11699999999999</v>
      </c>
      <c r="K64" s="33">
        <f>K52-K59</f>
        <v>52.60899999999998</v>
      </c>
    </row>
    <row r="65" spans="2:18" x14ac:dyDescent="0.2">
      <c r="B65" s="1" t="s">
        <v>92</v>
      </c>
      <c r="I65" s="1">
        <f>I64/I21</f>
        <v>0.30895933798398789</v>
      </c>
      <c r="K65" s="1">
        <f>K64/K21</f>
        <v>0.7693455551191799</v>
      </c>
    </row>
    <row r="67" spans="2:18" s="43" customFormat="1" x14ac:dyDescent="0.2">
      <c r="B67" s="43" t="s">
        <v>6</v>
      </c>
      <c r="D67" s="44"/>
      <c r="F67" s="44"/>
      <c r="H67" s="44"/>
      <c r="I67" s="45">
        <f>I50</f>
        <v>17.103000000000002</v>
      </c>
      <c r="J67" s="44"/>
      <c r="K67" s="45">
        <f>K50</f>
        <v>7.734</v>
      </c>
    </row>
    <row r="68" spans="2:18" s="43" customFormat="1" x14ac:dyDescent="0.2">
      <c r="B68" s="43" t="s">
        <v>7</v>
      </c>
      <c r="D68" s="44"/>
      <c r="F68" s="44"/>
      <c r="H68" s="44"/>
      <c r="I68" s="45">
        <f>+I54+I57</f>
        <v>215.053</v>
      </c>
      <c r="J68" s="44"/>
      <c r="K68" s="45">
        <f>+K54+K57</f>
        <v>207.95099999999999</v>
      </c>
    </row>
    <row r="69" spans="2:18" x14ac:dyDescent="0.2">
      <c r="B69" s="1" t="s">
        <v>8</v>
      </c>
      <c r="I69" s="33">
        <f>I67-I68</f>
        <v>-197.95</v>
      </c>
      <c r="K69" s="33">
        <f>K67-K68</f>
        <v>-200.21699999999998</v>
      </c>
    </row>
    <row r="71" spans="2:18" s="28" customFormat="1" x14ac:dyDescent="0.2">
      <c r="B71" s="28" t="s">
        <v>93</v>
      </c>
      <c r="D71" s="39">
        <f>O71</f>
        <v>2.1429</v>
      </c>
      <c r="F71" s="39">
        <f>P71</f>
        <v>2.968</v>
      </c>
      <c r="H71" s="39">
        <f>Q71</f>
        <v>2.0017</v>
      </c>
      <c r="I71" s="28">
        <v>2.3468</v>
      </c>
      <c r="J71" s="39">
        <f>R71</f>
        <v>2.3468</v>
      </c>
      <c r="K71" s="28">
        <v>2.0657999999999999</v>
      </c>
      <c r="O71" s="28">
        <v>2.1429</v>
      </c>
      <c r="P71" s="28">
        <v>2.968</v>
      </c>
      <c r="Q71" s="28">
        <v>2.0017</v>
      </c>
      <c r="R71" s="28">
        <v>2.3468</v>
      </c>
    </row>
    <row r="72" spans="2:18" s="33" customFormat="1" x14ac:dyDescent="0.2">
      <c r="B72" s="33" t="s">
        <v>5</v>
      </c>
      <c r="D72" s="48"/>
      <c r="F72" s="48"/>
      <c r="H72" s="48"/>
      <c r="I72" s="33">
        <f>I71*I21</f>
        <v>160.40096384</v>
      </c>
      <c r="J72" s="48"/>
      <c r="K72" s="33">
        <f>K71*K21</f>
        <v>141.26249443679998</v>
      </c>
    </row>
    <row r="73" spans="2:18" s="33" customFormat="1" x14ac:dyDescent="0.2">
      <c r="B73" s="33" t="s">
        <v>9</v>
      </c>
      <c r="D73" s="48"/>
      <c r="F73" s="48"/>
      <c r="H73" s="48"/>
      <c r="I73" s="33">
        <f>I72-I69</f>
        <v>358.35096383999996</v>
      </c>
      <c r="J73" s="48"/>
      <c r="K73" s="33">
        <f>K72-K69</f>
        <v>341.4794944368</v>
      </c>
    </row>
    <row r="75" spans="2:18" s="74" customFormat="1" x14ac:dyDescent="0.2">
      <c r="B75" s="74" t="s">
        <v>28</v>
      </c>
      <c r="D75" s="75"/>
      <c r="F75" s="75"/>
      <c r="H75" s="75"/>
      <c r="I75" s="74">
        <f>I71/I65</f>
        <v>7.5958215579864596</v>
      </c>
      <c r="J75" s="75"/>
      <c r="K75" s="74">
        <f>K71/K65</f>
        <v>2.6851393190670807</v>
      </c>
    </row>
    <row r="76" spans="2:18" x14ac:dyDescent="0.2">
      <c r="B76" s="1" t="s">
        <v>29</v>
      </c>
      <c r="K76" s="74">
        <f>K72/SUM(J8:K8)</f>
        <v>1.175727591880082</v>
      </c>
    </row>
    <row r="77" spans="2:18" x14ac:dyDescent="0.2">
      <c r="B77" s="1" t="s">
        <v>30</v>
      </c>
      <c r="K77" s="74">
        <f>K73/SUM(J8:K8)</f>
        <v>2.8421334712465356</v>
      </c>
    </row>
    <row r="78" spans="2:18" x14ac:dyDescent="0.2">
      <c r="B78" s="1" t="s">
        <v>31</v>
      </c>
      <c r="K78" s="74">
        <f>K71/SUM(J20:K20)</f>
        <v>4.5418588938941094</v>
      </c>
    </row>
    <row r="79" spans="2:18" x14ac:dyDescent="0.2">
      <c r="B79" s="1" t="s">
        <v>32</v>
      </c>
      <c r="K79" s="74">
        <f>K73/SUM(J19:K19)</f>
        <v>10.980754210457265</v>
      </c>
    </row>
    <row r="82" spans="2:18" x14ac:dyDescent="0.2">
      <c r="B82" s="26" t="s">
        <v>94</v>
      </c>
    </row>
    <row r="83" spans="2:18" x14ac:dyDescent="0.2">
      <c r="B83" s="1" t="s">
        <v>95</v>
      </c>
      <c r="I83" s="33">
        <v>5.2080000000000002</v>
      </c>
      <c r="J83" s="48">
        <f>R83-I83</f>
        <v>25.619</v>
      </c>
      <c r="K83" s="33">
        <v>31.850999999999999</v>
      </c>
      <c r="O83" s="33">
        <v>20.846</v>
      </c>
      <c r="P83" s="33">
        <v>23.917000000000002</v>
      </c>
      <c r="Q83" s="33">
        <v>4.4800000000000004</v>
      </c>
      <c r="R83" s="33">
        <v>30.827000000000002</v>
      </c>
    </row>
    <row r="84" spans="2:18" x14ac:dyDescent="0.2">
      <c r="B84" s="1" t="s">
        <v>96</v>
      </c>
      <c r="I84" s="33">
        <v>2.2919999999999998</v>
      </c>
      <c r="J84" s="48">
        <f t="shared" ref="J84:J85" si="25">R84-I84</f>
        <v>0</v>
      </c>
      <c r="K84" s="33">
        <v>-2.8780000000000001</v>
      </c>
      <c r="O84" s="33">
        <v>-2.472</v>
      </c>
      <c r="P84" s="33">
        <v>-2.6160000000000001</v>
      </c>
      <c r="Q84" s="33">
        <v>-0.71499999999999997</v>
      </c>
      <c r="R84" s="33">
        <v>2.2919999999999998</v>
      </c>
    </row>
    <row r="85" spans="2:18" x14ac:dyDescent="0.2">
      <c r="B85" s="1" t="s">
        <v>97</v>
      </c>
      <c r="I85" s="33">
        <v>-2.6509999999999998</v>
      </c>
      <c r="J85" s="48">
        <f t="shared" si="25"/>
        <v>-3.0350000000000001</v>
      </c>
      <c r="K85" s="33">
        <v>-3.4740000000000002</v>
      </c>
      <c r="O85" s="33">
        <v>-0.61899999999999999</v>
      </c>
      <c r="P85" s="33">
        <v>-0.68100000000000005</v>
      </c>
      <c r="Q85" s="33">
        <v>-5.766</v>
      </c>
      <c r="R85" s="33">
        <v>-5.6859999999999999</v>
      </c>
    </row>
    <row r="86" spans="2:18" s="3" customFormat="1" x14ac:dyDescent="0.2">
      <c r="B86" s="3" t="s">
        <v>98</v>
      </c>
      <c r="D86" s="37"/>
      <c r="F86" s="37"/>
      <c r="H86" s="37"/>
      <c r="I86" s="32">
        <f>SUM(I83:I85)</f>
        <v>4.8490000000000002</v>
      </c>
      <c r="J86" s="49">
        <f>SUM(J83:J85)</f>
        <v>22.584</v>
      </c>
      <c r="K86" s="32">
        <f>SUM(K83:K85)</f>
        <v>25.498999999999999</v>
      </c>
      <c r="O86" s="32">
        <f t="shared" ref="O86:Q86" si="26">SUM(O83:O85)</f>
        <v>17.754999999999999</v>
      </c>
      <c r="P86" s="32">
        <f t="shared" si="26"/>
        <v>20.62</v>
      </c>
      <c r="Q86" s="32">
        <f t="shared" si="26"/>
        <v>-2.0009999999999994</v>
      </c>
      <c r="R86" s="32">
        <f>SUM(R83:R85)</f>
        <v>27.433</v>
      </c>
    </row>
    <row r="87" spans="2:18" x14ac:dyDescent="0.2">
      <c r="I87" s="33"/>
      <c r="J87" s="48"/>
      <c r="K87" s="33"/>
      <c r="O87" s="33"/>
      <c r="P87" s="33"/>
      <c r="Q87" s="33"/>
      <c r="R87" s="33"/>
    </row>
    <row r="88" spans="2:18" x14ac:dyDescent="0.2">
      <c r="B88" s="1" t="s">
        <v>130</v>
      </c>
      <c r="I88" s="33">
        <v>0</v>
      </c>
      <c r="J88" s="48">
        <v>0</v>
      </c>
      <c r="K88" s="33">
        <v>0</v>
      </c>
      <c r="O88" s="33">
        <v>0</v>
      </c>
      <c r="P88" s="33">
        <v>-0.3</v>
      </c>
      <c r="Q88" s="33">
        <v>0</v>
      </c>
      <c r="R88" s="33">
        <v>0</v>
      </c>
    </row>
    <row r="89" spans="2:18" x14ac:dyDescent="0.2">
      <c r="B89" s="1" t="s">
        <v>99</v>
      </c>
      <c r="I89" s="33">
        <v>0</v>
      </c>
      <c r="J89" s="48">
        <f t="shared" ref="J89:J91" si="27">R89-I89</f>
        <v>0</v>
      </c>
      <c r="K89" s="33">
        <v>-0.45400000000000001</v>
      </c>
      <c r="O89" s="33">
        <v>-3.9079999999999999</v>
      </c>
      <c r="P89" s="33">
        <v>-1.4</v>
      </c>
      <c r="Q89" s="33">
        <v>0</v>
      </c>
      <c r="R89" s="33">
        <v>0</v>
      </c>
    </row>
    <row r="90" spans="2:18" x14ac:dyDescent="0.2">
      <c r="B90" s="1" t="s">
        <v>100</v>
      </c>
      <c r="I90" s="33">
        <v>-0.20499999999999999</v>
      </c>
      <c r="J90" s="48">
        <f t="shared" si="27"/>
        <v>-6.9029999999999996</v>
      </c>
      <c r="K90" s="33">
        <v>-16.632000000000001</v>
      </c>
      <c r="O90" s="33">
        <v>-8.7080000000000002</v>
      </c>
      <c r="P90" s="33">
        <v>-8.5559999999999992</v>
      </c>
      <c r="Q90" s="33">
        <v>-6.0439999999999996</v>
      </c>
      <c r="R90" s="33">
        <v>-7.1079999999999997</v>
      </c>
    </row>
    <row r="91" spans="2:18" x14ac:dyDescent="0.2">
      <c r="B91" s="1" t="s">
        <v>101</v>
      </c>
      <c r="I91" s="33">
        <v>0</v>
      </c>
      <c r="J91" s="48">
        <f t="shared" si="27"/>
        <v>-2.4E-2</v>
      </c>
      <c r="K91" s="33">
        <v>-1.2999999999999999E-2</v>
      </c>
      <c r="O91" s="33">
        <v>-0.19</v>
      </c>
      <c r="P91" s="33">
        <v>-0.21199999999999999</v>
      </c>
      <c r="Q91" s="33">
        <v>-0.11899999999999999</v>
      </c>
      <c r="R91" s="33">
        <v>-2.4E-2</v>
      </c>
    </row>
    <row r="92" spans="2:18" s="3" customFormat="1" x14ac:dyDescent="0.2">
      <c r="B92" s="3" t="s">
        <v>102</v>
      </c>
      <c r="D92" s="37"/>
      <c r="F92" s="37"/>
      <c r="H92" s="37"/>
      <c r="I92" s="32">
        <f t="shared" ref="I92" si="28">SUM(I88:I91)</f>
        <v>-0.20499999999999999</v>
      </c>
      <c r="J92" s="49">
        <f t="shared" ref="J92" si="29">SUM(J88:J91)</f>
        <v>-6.9269999999999996</v>
      </c>
      <c r="K92" s="32">
        <f t="shared" ref="K92" si="30">SUM(K88:K91)</f>
        <v>-17.099000000000004</v>
      </c>
      <c r="O92" s="32">
        <f t="shared" ref="O92" si="31">SUM(O88:O91)</f>
        <v>-12.805999999999999</v>
      </c>
      <c r="P92" s="32">
        <f t="shared" ref="P92" si="32">SUM(P88:P91)</f>
        <v>-10.467999999999998</v>
      </c>
      <c r="Q92" s="32">
        <f t="shared" ref="Q92" si="33">SUM(Q88:Q91)</f>
        <v>-6.1629999999999994</v>
      </c>
      <c r="R92" s="32">
        <f t="shared" ref="R92" si="34">SUM(R88:R91)</f>
        <v>-7.1319999999999997</v>
      </c>
    </row>
    <row r="93" spans="2:18" x14ac:dyDescent="0.2">
      <c r="I93" s="33"/>
      <c r="J93" s="48"/>
      <c r="K93" s="33"/>
      <c r="O93" s="33"/>
      <c r="Q93" s="33"/>
      <c r="R93" s="33"/>
    </row>
    <row r="94" spans="2:18" x14ac:dyDescent="0.2">
      <c r="B94" s="1" t="s">
        <v>123</v>
      </c>
      <c r="I94" s="33">
        <v>0</v>
      </c>
      <c r="J94" s="48">
        <v>0</v>
      </c>
      <c r="K94" s="33">
        <v>0</v>
      </c>
      <c r="O94" s="33">
        <v>0</v>
      </c>
      <c r="P94" s="33">
        <v>0</v>
      </c>
      <c r="Q94" s="33">
        <v>5.0380000000000003</v>
      </c>
      <c r="R94" s="33">
        <v>0</v>
      </c>
    </row>
    <row r="95" spans="2:18" x14ac:dyDescent="0.2">
      <c r="B95" s="1" t="s">
        <v>124</v>
      </c>
      <c r="I95" s="33">
        <v>0</v>
      </c>
      <c r="J95" s="48">
        <v>0</v>
      </c>
      <c r="K95" s="33">
        <v>0</v>
      </c>
      <c r="O95" s="33">
        <v>0</v>
      </c>
      <c r="P95" s="33">
        <v>0</v>
      </c>
      <c r="Q95" s="33">
        <v>-0.16</v>
      </c>
      <c r="R95" s="33">
        <v>0</v>
      </c>
    </row>
    <row r="96" spans="2:18" x14ac:dyDescent="0.2">
      <c r="B96" s="1" t="s">
        <v>131</v>
      </c>
      <c r="I96" s="33">
        <v>0</v>
      </c>
      <c r="J96" s="48">
        <v>0</v>
      </c>
      <c r="K96" s="33">
        <v>0</v>
      </c>
      <c r="O96" s="33">
        <v>0</v>
      </c>
      <c r="P96" s="33">
        <v>-0.153</v>
      </c>
      <c r="Q96" s="33">
        <v>0</v>
      </c>
      <c r="R96" s="33">
        <v>0</v>
      </c>
    </row>
    <row r="97" spans="2:18" x14ac:dyDescent="0.2">
      <c r="B97" s="1" t="s">
        <v>103</v>
      </c>
      <c r="I97" s="33">
        <v>-2.9350000000000001</v>
      </c>
      <c r="J97" s="48">
        <f t="shared" ref="J97:J100" si="35">R97-I97</f>
        <v>-7.0670000000000002</v>
      </c>
      <c r="K97" s="33">
        <v>-5.1769999999999996</v>
      </c>
      <c r="O97" s="33">
        <v>-2.222</v>
      </c>
      <c r="P97" s="33">
        <v>-2.7090000000000001</v>
      </c>
      <c r="Q97" s="33">
        <v>-2.8530000000000002</v>
      </c>
      <c r="R97" s="33">
        <v>-10.002000000000001</v>
      </c>
    </row>
    <row r="98" spans="2:18" x14ac:dyDescent="0.2">
      <c r="B98" s="1" t="s">
        <v>125</v>
      </c>
      <c r="I98" s="33">
        <v>0</v>
      </c>
      <c r="J98" s="48">
        <v>0</v>
      </c>
      <c r="K98" s="33">
        <v>0</v>
      </c>
      <c r="O98" s="33">
        <v>-6.5</v>
      </c>
      <c r="P98" s="33">
        <v>-7.15</v>
      </c>
      <c r="Q98" s="33">
        <v>-2.4049999999999998</v>
      </c>
      <c r="R98" s="33">
        <v>0</v>
      </c>
    </row>
    <row r="99" spans="2:18" x14ac:dyDescent="0.2">
      <c r="B99" s="1" t="s">
        <v>104</v>
      </c>
      <c r="I99" s="33">
        <v>18</v>
      </c>
      <c r="J99" s="48">
        <f t="shared" si="35"/>
        <v>4</v>
      </c>
      <c r="K99" s="33">
        <v>0</v>
      </c>
      <c r="O99" s="33">
        <v>8.5</v>
      </c>
      <c r="P99" s="33">
        <v>17</v>
      </c>
      <c r="Q99" s="33">
        <v>18.350000000000001</v>
      </c>
      <c r="R99" s="33">
        <v>22</v>
      </c>
    </row>
    <row r="100" spans="2:18" x14ac:dyDescent="0.2">
      <c r="B100" s="1" t="s">
        <v>105</v>
      </c>
      <c r="I100" s="33">
        <v>-10</v>
      </c>
      <c r="J100" s="48">
        <f t="shared" si="35"/>
        <v>-18</v>
      </c>
      <c r="K100" s="33">
        <v>-7</v>
      </c>
      <c r="O100" s="33">
        <v>-5</v>
      </c>
      <c r="P100" s="33">
        <v>-20.25</v>
      </c>
      <c r="Q100" s="33">
        <v>-4.5999999999999996</v>
      </c>
      <c r="R100" s="33">
        <v>-28</v>
      </c>
    </row>
    <row r="101" spans="2:18" s="3" customFormat="1" x14ac:dyDescent="0.2">
      <c r="B101" s="3" t="s">
        <v>106</v>
      </c>
      <c r="D101" s="37"/>
      <c r="F101" s="37"/>
      <c r="H101" s="37"/>
      <c r="I101" s="32">
        <f t="shared" ref="I101" si="36">SUM(I94:I100)</f>
        <v>5.0649999999999995</v>
      </c>
      <c r="J101" s="49">
        <f t="shared" ref="J101" si="37">SUM(J94:J100)</f>
        <v>-21.067</v>
      </c>
      <c r="K101" s="32">
        <f t="shared" ref="K101" si="38">SUM(K94:K100)</f>
        <v>-12.177</v>
      </c>
      <c r="O101" s="32">
        <f t="shared" ref="O101" si="39">SUM(O94:O100)</f>
        <v>-5.2219999999999995</v>
      </c>
      <c r="P101" s="32">
        <f>SUM(P94:P100)</f>
        <v>-13.262</v>
      </c>
      <c r="Q101" s="32">
        <f t="shared" ref="Q101:R101" si="40">SUM(Q94:Q100)</f>
        <v>13.370000000000003</v>
      </c>
      <c r="R101" s="32">
        <f t="shared" si="40"/>
        <v>-16.002000000000002</v>
      </c>
    </row>
    <row r="102" spans="2:18" x14ac:dyDescent="0.2">
      <c r="Q102" s="33"/>
    </row>
    <row r="103" spans="2:18" x14ac:dyDescent="0.2">
      <c r="B103" s="1" t="s">
        <v>107</v>
      </c>
      <c r="I103" s="33">
        <f>+I89+I90+I91</f>
        <v>-0.20499999999999999</v>
      </c>
      <c r="J103" s="48">
        <f>+J89+J90+J91</f>
        <v>-6.9269999999999996</v>
      </c>
      <c r="K103" s="33">
        <f>+K89+K90+K91</f>
        <v>-17.099000000000004</v>
      </c>
      <c r="O103" s="33">
        <f t="shared" ref="O103:P103" si="41">+O89+O90+O91</f>
        <v>-12.805999999999999</v>
      </c>
      <c r="P103" s="33">
        <f t="shared" ref="P103:Q103" si="42">+P89+P90+P91</f>
        <v>-10.167999999999999</v>
      </c>
      <c r="Q103" s="33">
        <f t="shared" si="42"/>
        <v>-6.1629999999999994</v>
      </c>
      <c r="R103" s="33">
        <f>+R89+R90+R91</f>
        <v>-7.1319999999999997</v>
      </c>
    </row>
    <row r="104" spans="2:18" x14ac:dyDescent="0.2">
      <c r="B104" s="1" t="s">
        <v>108</v>
      </c>
      <c r="I104" s="33">
        <f>+I86+I103</f>
        <v>4.6440000000000001</v>
      </c>
      <c r="J104" s="48">
        <f>+J86+J103</f>
        <v>15.657</v>
      </c>
      <c r="K104" s="33">
        <f>+K86+K103</f>
        <v>8.399999999999995</v>
      </c>
      <c r="O104" s="33">
        <f t="shared" ref="O104:P104" si="43">+O86+O103</f>
        <v>4.9489999999999998</v>
      </c>
      <c r="P104" s="33">
        <f t="shared" ref="P104:Q104" si="44">+P86+P103</f>
        <v>10.452000000000002</v>
      </c>
      <c r="Q104" s="33">
        <f t="shared" si="44"/>
        <v>-8.1639999999999979</v>
      </c>
      <c r="R104" s="33">
        <f>+R86+R103</f>
        <v>20.301000000000002</v>
      </c>
    </row>
  </sheetData>
  <hyperlinks>
    <hyperlink ref="K1" r:id="rId1" xr:uid="{4AF70136-1990-41FC-9821-A532866EF9F7}"/>
    <hyperlink ref="R1" r:id="rId2" xr:uid="{554E5D0D-5054-42D6-BF8F-B3F5BCA52C04}"/>
    <hyperlink ref="P1" r:id="rId3" xr:uid="{216FF58D-FA70-405C-A407-B5B577849372}"/>
    <hyperlink ref="G1" r:id="rId4" xr:uid="{20DB45A5-5C67-486B-8291-3D46BC1B644A}"/>
  </hyperlinks>
  <pageMargins left="0.7" right="0.7" top="0.75" bottom="0.75" header="0.3" footer="0.3"/>
  <pageSetup paperSize="125" orientation="portrait" horizontalDpi="203" verticalDpi="203" r:id="rId5"/>
  <ignoredErrors>
    <ignoredError sqref="J10 J15:J18 H5:H7 H10 H17 H15 F10 F15 F17 F19 F8 J8 H8" formula="1"/>
    <ignoredError sqref="Q97:Q100 P8 R8 O38:R38 Q94:Q95 E8 K8" formulaRange="1"/>
    <ignoredError sqref="I8 G8" formula="1" formulaRange="1"/>
  </ignoredError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2022-07-06T18:16:50Z</dcterms:created>
  <dcterms:modified xsi:type="dcterms:W3CDTF">2023-03-08T20:43:10Z</dcterms:modified>
</cp:coreProperties>
</file>