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7BA1AAA-6189-4F1A-ADBE-92E53ED2C510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" i="1" l="1"/>
  <c r="Q22" i="1"/>
  <c r="L22" i="1"/>
  <c r="K22" i="1"/>
  <c r="AI22" i="1" l="1"/>
  <c r="AJ22" i="1"/>
  <c r="AH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19" i="1"/>
  <c r="N19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R19" i="1"/>
  <c r="Q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H23" i="1" l="1"/>
  <c r="AJ23" i="1"/>
  <c r="AI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H5" i="1"/>
  <c r="AI5" i="1"/>
  <c r="AJ5" i="1"/>
  <c r="F5" i="1"/>
  <c r="AF4" i="1" l="1"/>
  <c r="AE4" i="1"/>
  <c r="AD4" i="1"/>
  <c r="AC4" i="1"/>
  <c r="J19" i="1" l="1"/>
  <c r="I19" i="1"/>
  <c r="H19" i="1"/>
  <c r="G19" i="1"/>
  <c r="F19" i="1"/>
  <c r="AI19" i="1"/>
  <c r="AJ19" i="1"/>
  <c r="AH19" i="1"/>
  <c r="AF19" i="1"/>
  <c r="AE19" i="1"/>
  <c r="AD19" i="1"/>
  <c r="AC19" i="1"/>
  <c r="L19" i="1"/>
  <c r="K19" i="1"/>
  <c r="AJ13" i="1" l="1"/>
  <c r="AJ11" i="1"/>
  <c r="AH11" i="1"/>
  <c r="AI11" i="1"/>
  <c r="AJ4" i="1" l="1"/>
  <c r="AH4" i="1"/>
  <c r="AI4" i="1"/>
  <c r="L4" i="1" l="1"/>
  <c r="J4" i="1"/>
  <c r="I4" i="1"/>
  <c r="H4" i="1"/>
  <c r="G4" i="1"/>
  <c r="F4" i="1"/>
  <c r="K4" i="1"/>
  <c r="AI7" i="1" l="1"/>
  <c r="AJ7" i="1"/>
  <c r="AH7" i="1"/>
  <c r="AF7" i="1"/>
  <c r="AE7" i="1"/>
  <c r="AD7" i="1"/>
  <c r="AC7" i="1"/>
  <c r="J7" i="1"/>
  <c r="I7" i="1"/>
  <c r="G7" i="1"/>
  <c r="H7" i="1"/>
  <c r="F7" i="1"/>
  <c r="G55" i="1"/>
  <c r="G54" i="1"/>
  <c r="AA23" i="1" s="1"/>
  <c r="L7" i="1"/>
  <c r="K7" i="1"/>
  <c r="I5" i="1"/>
  <c r="H5" i="1" l="1"/>
  <c r="G5" i="1"/>
  <c r="J5" i="1"/>
  <c r="L23" i="1" l="1"/>
  <c r="AC23" i="1"/>
  <c r="G23" i="1"/>
  <c r="AD23" i="1" l="1"/>
  <c r="I23" i="1"/>
  <c r="Q23" i="1" l="1"/>
  <c r="AF23" i="1"/>
  <c r="AE23" i="1" l="1"/>
  <c r="X23" i="1" l="1"/>
  <c r="T23" i="1" l="1"/>
  <c r="R23" i="1"/>
  <c r="H23" i="1"/>
  <c r="J23" i="1" l="1"/>
  <c r="S23" i="1"/>
  <c r="U23" i="1"/>
</calcChain>
</file>

<file path=xl/sharedStrings.xml><?xml version="1.0" encoding="utf-8"?>
<sst xmlns="http://schemas.openxmlformats.org/spreadsheetml/2006/main" count="210" uniqueCount="144">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</sst>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  <cell r="AP25">
            <v>0.08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37.21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22243.356589999999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20210.512589999998</v>
          </cell>
        </row>
        <row r="16">
          <cell r="G16">
            <v>52.387601721181568</v>
          </cell>
        </row>
        <row r="17">
          <cell r="G17">
            <v>11.590025427513091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  <cell r="AP22">
            <v>0.09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  <row r="26">
          <cell r="AP26">
            <v>66.171403527895578</v>
          </cell>
        </row>
        <row r="28">
          <cell r="AP28">
            <v>0.77832312625357636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5">
          <cell r="AW25">
            <v>0.08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52.93</v>
          </cell>
        </row>
        <row r="7">
          <cell r="C7">
            <v>1269.4252260000001</v>
          </cell>
        </row>
        <row r="8">
          <cell r="C8">
            <v>67190.677212180002</v>
          </cell>
        </row>
        <row r="11">
          <cell r="C11">
            <v>4028.7079999999996</v>
          </cell>
        </row>
        <row r="12">
          <cell r="C12">
            <v>63161.969212180004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Q322</v>
          </cell>
          <cell r="D28">
            <v>46661</v>
          </cell>
        </row>
        <row r="33">
          <cell r="C33">
            <v>7.729278198315245</v>
          </cell>
        </row>
      </sheetData>
      <sheetData sheetId="1">
        <row r="29">
          <cell r="U29">
            <v>0.48479871175523354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M55"/>
  <sheetViews>
    <sheetView tabSelected="1" zoomScale="96" zoomScaleNormal="96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C22" sqref="AC22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10" width="9.140625" style="1"/>
    <col min="11" max="11" width="9.140625" style="5"/>
    <col min="12" max="12" width="9.42578125" style="5" bestFit="1" customWidth="1"/>
    <col min="13" max="13" width="9.42578125" style="27" customWidth="1"/>
    <col min="14" max="15" width="9.42578125" style="28" customWidth="1"/>
    <col min="16" max="23" width="9.42578125" style="5" customWidth="1"/>
    <col min="24" max="27" width="9.42578125" style="23" customWidth="1"/>
    <col min="28" max="28" width="9.140625" style="1"/>
    <col min="29" max="32" width="9.140625" style="5"/>
    <col min="33" max="33" width="9.140625" style="1"/>
    <col min="34" max="35" width="9.140625" style="5"/>
    <col min="36" max="36" width="19.28515625" style="5" bestFit="1" customWidth="1"/>
    <col min="37" max="37" width="9.140625" style="1"/>
    <col min="38" max="38" width="16.42578125" style="5" bestFit="1" customWidth="1"/>
    <col min="39" max="39" width="28" style="1" bestFit="1" customWidth="1"/>
    <col min="40" max="16384" width="9.140625" style="1"/>
  </cols>
  <sheetData>
    <row r="1" spans="1:39" ht="15" customHeight="1" x14ac:dyDescent="0.2">
      <c r="F1" s="35" t="s">
        <v>29</v>
      </c>
      <c r="G1" s="35"/>
      <c r="H1" s="35"/>
      <c r="I1" s="35"/>
      <c r="J1" s="35"/>
      <c r="W1" s="35" t="s">
        <v>105</v>
      </c>
      <c r="X1" s="35"/>
      <c r="Y1" s="35"/>
      <c r="Z1" s="35"/>
      <c r="AA1" s="35"/>
      <c r="AB1" s="5"/>
    </row>
    <row r="2" spans="1:39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30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4" t="s">
        <v>12</v>
      </c>
      <c r="AI2" s="4" t="s">
        <v>10</v>
      </c>
      <c r="AJ2" s="4" t="s">
        <v>11</v>
      </c>
      <c r="AL2" s="4" t="s">
        <v>38</v>
      </c>
      <c r="AM2" s="4" t="s">
        <v>40</v>
      </c>
    </row>
    <row r="3" spans="1:39" x14ac:dyDescent="0.2">
      <c r="F3" s="16"/>
      <c r="I3" s="17"/>
      <c r="J3" s="17"/>
      <c r="W3" s="22"/>
      <c r="X3" s="24"/>
      <c r="Y3" s="24"/>
      <c r="Z3" s="24"/>
      <c r="AA3" s="24"/>
      <c r="AM3" s="5"/>
    </row>
    <row r="4" spans="1:39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[1]Main!$C$6*F54</f>
        <v>155.31750000000002</v>
      </c>
      <c r="G4" s="19">
        <f>[1]Main!$C$7</f>
        <v>68.916813000000005</v>
      </c>
      <c r="H4" s="17">
        <f>[1]Main!$C$8*F54</f>
        <v>10703.987103127502</v>
      </c>
      <c r="I4" s="17">
        <f>[1]Main!$C$11*F54</f>
        <v>525.27690000000007</v>
      </c>
      <c r="J4" s="17">
        <f>[1]Main!$C$12*F54</f>
        <v>10178.710203127501</v>
      </c>
      <c r="K4" s="5" t="str">
        <f>[1]Main!$C$28</f>
        <v>FQ323</v>
      </c>
      <c r="L4" s="8">
        <f>[1]Main!$D$28</f>
        <v>44901</v>
      </c>
      <c r="M4" s="27">
        <f>'[1]Financial Model'!$AU$27*F54</f>
        <v>144.21036736217536</v>
      </c>
      <c r="N4" s="32">
        <f>'[1]Financial Model'!$AU$29</f>
        <v>-7.1512435094722937E-2</v>
      </c>
      <c r="O4" s="32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2"/>
      <c r="X4" s="24">
        <f>'[1]Financial Model'!$AH$21*F54</f>
        <v>-248.56146000000001</v>
      </c>
      <c r="Y4" s="24">
        <f>'[1]Financial Model'!$AG$15*F54</f>
        <v>-169.53623999999999</v>
      </c>
      <c r="Z4" s="24"/>
      <c r="AA4" s="24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5">
        <f>[1]Main!$C24</f>
        <v>2007</v>
      </c>
      <c r="AI4" s="5">
        <f>[1]Main!$C$25</f>
        <v>2017</v>
      </c>
      <c r="AJ4" s="5" t="str">
        <f>[1]Main!$C$23</f>
        <v>New York City, NY</v>
      </c>
      <c r="AL4" s="5" t="s">
        <v>47</v>
      </c>
      <c r="AM4" s="5" t="s">
        <v>39</v>
      </c>
    </row>
    <row r="5" spans="1:39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[2]Main!$C$6*F54</f>
        <v>3.2561999999999998</v>
      </c>
      <c r="G5" s="17">
        <f>[2]Main!$C$7</f>
        <v>58.801357000000003</v>
      </c>
      <c r="H5" s="17">
        <f>[2]Main!$C$8*F54</f>
        <v>191.46897866340001</v>
      </c>
      <c r="I5" s="17">
        <f>[2]Main!$C$11*F54</f>
        <v>12.968910000000001</v>
      </c>
      <c r="J5" s="17">
        <f>[2]Main!$C$12*F54</f>
        <v>178.50006866340001</v>
      </c>
      <c r="K5" s="5" t="str">
        <f>[2]Main!$C$28</f>
        <v>Q322</v>
      </c>
      <c r="L5" s="8">
        <f>[2]Main!$D$28</f>
        <v>42705</v>
      </c>
      <c r="N5" s="31"/>
      <c r="O5" s="31"/>
      <c r="P5" s="8"/>
      <c r="Q5" s="21">
        <f>[2]Main!$C$34</f>
        <v>26.782399177430296</v>
      </c>
      <c r="R5" s="21"/>
      <c r="S5" s="21"/>
      <c r="T5" s="21"/>
      <c r="U5" s="21"/>
      <c r="V5" s="8"/>
      <c r="W5" s="22"/>
      <c r="X5" s="24"/>
      <c r="Y5" s="24"/>
      <c r="Z5" s="24"/>
      <c r="AA5" s="24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5">
        <f>[2]Main!$C$24</f>
        <v>2010</v>
      </c>
      <c r="AI5" s="5">
        <f>[2]Main!$C$25</f>
        <v>2022</v>
      </c>
      <c r="AJ5" s="5" t="str">
        <f>[2]Main!$C$23</f>
        <v>Redwood City, CA</v>
      </c>
      <c r="AL5" s="5" t="s">
        <v>47</v>
      </c>
      <c r="AM5" s="5" t="s">
        <v>39</v>
      </c>
    </row>
    <row r="6" spans="1:39" x14ac:dyDescent="0.2">
      <c r="F6" s="16"/>
      <c r="I6" s="17"/>
      <c r="J6" s="17"/>
      <c r="R6" s="21"/>
      <c r="S6" s="21"/>
      <c r="T6" s="21"/>
      <c r="U6" s="21"/>
      <c r="W6" s="22"/>
      <c r="X6" s="24"/>
      <c r="Y6" s="24"/>
      <c r="Z6" s="24"/>
      <c r="AA6" s="24"/>
      <c r="AM6" s="5"/>
    </row>
    <row r="7" spans="1:39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[3]Main!$C$6*$F$54</f>
        <v>48.114000000000004</v>
      </c>
      <c r="G7" s="17">
        <f>[3]Main!$C$7</f>
        <v>183.692564</v>
      </c>
      <c r="H7" s="17">
        <f>[3]Main!$C$8*$F$54</f>
        <v>8838.1840242960006</v>
      </c>
      <c r="I7" s="17">
        <f>[3]Main!$C$11*F54</f>
        <v>2589.3415800000002</v>
      </c>
      <c r="J7" s="17">
        <f>[3]Main!$C$12*F54</f>
        <v>6248.8424442960013</v>
      </c>
      <c r="K7" s="5" t="str">
        <f>[3]Main!$C$28</f>
        <v>Q322</v>
      </c>
      <c r="L7" s="8">
        <f>[3]Main!$D$28</f>
        <v>37926</v>
      </c>
      <c r="M7" s="27">
        <f>'[3]Financial Model'!$AP$29*F54</f>
        <v>42.985358058347664</v>
      </c>
      <c r="N7" s="32">
        <f>'[3]Financial Model'!$AP$31</f>
        <v>-0.10659354744258087</v>
      </c>
      <c r="O7" s="32">
        <f>'[3]Financial Model'!$AP$25</f>
        <v>0.08</v>
      </c>
      <c r="P7" s="8"/>
      <c r="Q7" s="21">
        <f>[3]Main!$C$33</f>
        <v>1.0361270864907119</v>
      </c>
      <c r="R7" s="21">
        <f>[3]Main!$C$34</f>
        <v>2.9939265322921638</v>
      </c>
      <c r="S7" s="21">
        <f>[3]Main!$C$35</f>
        <v>2.1167895054755248</v>
      </c>
      <c r="T7" s="21">
        <f>[3]Main!$C$36</f>
        <v>-8.1937235256229481</v>
      </c>
      <c r="U7" s="21">
        <f>[3]Main!$C$37</f>
        <v>-5.8527494874135044</v>
      </c>
      <c r="V7" s="8"/>
      <c r="W7" s="22"/>
      <c r="X7" s="24">
        <f>'[3]Financial Model'!$AB$17*$F$54</f>
        <v>-769.4190000000001</v>
      </c>
      <c r="Y7" s="24">
        <f>'[3]Financial Model'!$AA$17*$F$54</f>
        <v>-397.6929899999999</v>
      </c>
      <c r="Z7" s="24">
        <f>'[3]Financial Model'!$Z$17*$F$54</f>
        <v>-248.72102999999996</v>
      </c>
      <c r="AA7" s="24">
        <f>'[3]Financial Model'!$Y$17*F54</f>
        <v>-98.778690000000012</v>
      </c>
      <c r="AC7" s="18">
        <f>'[3]Financial Model'!$U$24</f>
        <v>0.47005177868427206</v>
      </c>
      <c r="AD7" s="18">
        <f>'[3]Financial Model'!$U$25</f>
        <v>-0.46488611741249003</v>
      </c>
      <c r="AE7" s="18">
        <f>'[3]Financial Model'!$U$26</f>
        <v>-0.49065338799426272</v>
      </c>
      <c r="AF7" s="18">
        <f>'[3]Financial Model'!$U$27</f>
        <v>-7.4778536471246807E-3</v>
      </c>
      <c r="AH7" s="5">
        <f>[3]Main!$C$24</f>
        <v>2008</v>
      </c>
      <c r="AI7" s="5">
        <f>[3]Main!$C$25</f>
        <v>2016</v>
      </c>
      <c r="AJ7" s="5" t="str">
        <f>[3]Main!$C$23</f>
        <v>San Francisco, CA</v>
      </c>
      <c r="AL7" s="5" t="s">
        <v>47</v>
      </c>
      <c r="AM7" s="5" t="s">
        <v>43</v>
      </c>
    </row>
    <row r="8" spans="1:39" x14ac:dyDescent="0.2">
      <c r="B8" s="7"/>
      <c r="F8" s="16"/>
      <c r="G8" s="17"/>
      <c r="H8" s="17"/>
      <c r="I8" s="17"/>
      <c r="J8" s="17"/>
      <c r="L8" s="8"/>
      <c r="N8" s="31"/>
      <c r="O8" s="31"/>
      <c r="P8" s="8"/>
      <c r="Q8" s="8"/>
      <c r="R8" s="21"/>
      <c r="S8" s="21"/>
      <c r="T8" s="21"/>
      <c r="U8" s="21"/>
      <c r="V8" s="8"/>
      <c r="W8" s="22"/>
      <c r="X8" s="24"/>
      <c r="Y8" s="24"/>
      <c r="Z8" s="24"/>
      <c r="AA8" s="24"/>
      <c r="AC8" s="18"/>
      <c r="AD8" s="18"/>
      <c r="AE8" s="18"/>
      <c r="AF8" s="18"/>
      <c r="AM8" s="5"/>
    </row>
    <row r="9" spans="1:39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2"/>
      <c r="X9" s="24"/>
      <c r="Y9" s="24"/>
      <c r="Z9" s="24"/>
      <c r="AA9" s="24"/>
      <c r="AL9" s="5" t="s">
        <v>15</v>
      </c>
      <c r="AM9" s="5" t="s">
        <v>44</v>
      </c>
    </row>
    <row r="10" spans="1:39" x14ac:dyDescent="0.2">
      <c r="B10" s="1" t="s">
        <v>41</v>
      </c>
      <c r="C10" s="6" t="s">
        <v>42</v>
      </c>
      <c r="E10" s="5" t="s">
        <v>17</v>
      </c>
      <c r="W10" s="22"/>
      <c r="X10" s="24"/>
      <c r="Y10" s="24"/>
      <c r="Z10" s="24"/>
      <c r="AA10" s="24"/>
      <c r="AL10" s="5" t="s">
        <v>15</v>
      </c>
      <c r="AM10" s="5" t="s">
        <v>45</v>
      </c>
    </row>
    <row r="11" spans="1:39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7">
        <f>'[4]Financial Model'!$AH$22</f>
        <v>6.3308923646501336</v>
      </c>
      <c r="N11" s="32">
        <f>'[4]Financial Model'!$AH$24</f>
        <v>-0.14975928489791379</v>
      </c>
      <c r="O11" s="32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4">
        <f>'[4]Financial Model'!$V$13</f>
        <v>254</v>
      </c>
      <c r="X11" s="24">
        <f>'[4]Financial Model'!$U$13</f>
        <v>285</v>
      </c>
      <c r="Y11" s="24">
        <f>'[4]Financial Model'!$T$13</f>
        <v>310</v>
      </c>
      <c r="Z11" s="24">
        <f>'[4]Financial Model'!$S$13</f>
        <v>266</v>
      </c>
      <c r="AA11" s="24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5">
        <f>[4]Main!$C$24</f>
        <v>1981</v>
      </c>
      <c r="AI11" s="5">
        <f>[4]Main!$C$25</f>
        <v>1989</v>
      </c>
      <c r="AJ11" s="5" t="str">
        <f>[4]Main!$C$23</f>
        <v>Newcastle, UK</v>
      </c>
      <c r="AL11" s="5" t="s">
        <v>15</v>
      </c>
      <c r="AM11" s="5" t="s">
        <v>46</v>
      </c>
    </row>
    <row r="12" spans="1:39" x14ac:dyDescent="0.2">
      <c r="B12" s="7"/>
      <c r="F12" s="16"/>
      <c r="AM12" s="5"/>
    </row>
    <row r="13" spans="1:39" x14ac:dyDescent="0.2">
      <c r="B13" s="1" t="s">
        <v>76</v>
      </c>
      <c r="C13" s="6" t="s">
        <v>77</v>
      </c>
      <c r="D13" s="5" t="s">
        <v>33</v>
      </c>
      <c r="E13" s="5" t="s">
        <v>17</v>
      </c>
      <c r="AH13" s="5">
        <v>2002</v>
      </c>
      <c r="AI13" s="5">
        <v>2015</v>
      </c>
      <c r="AJ13" s="5" t="str">
        <f>[3]Main!$C$23</f>
        <v>San Francisco, CA</v>
      </c>
      <c r="AL13" s="5" t="s">
        <v>78</v>
      </c>
      <c r="AM13" s="5" t="s">
        <v>79</v>
      </c>
    </row>
    <row r="15" spans="1:39" x14ac:dyDescent="0.2">
      <c r="B15" s="1" t="s">
        <v>48</v>
      </c>
      <c r="C15" s="6" t="s">
        <v>49</v>
      </c>
      <c r="D15" s="5" t="s">
        <v>30</v>
      </c>
      <c r="E15" s="5" t="s">
        <v>17</v>
      </c>
      <c r="AL15" s="5" t="s">
        <v>50</v>
      </c>
      <c r="AM15" s="5" t="s">
        <v>51</v>
      </c>
    </row>
    <row r="16" spans="1:39" x14ac:dyDescent="0.2">
      <c r="B16" s="1" t="s">
        <v>63</v>
      </c>
      <c r="C16" s="6" t="s">
        <v>64</v>
      </c>
      <c r="D16" s="5" t="s">
        <v>33</v>
      </c>
      <c r="E16" s="5" t="s">
        <v>17</v>
      </c>
      <c r="AL16" s="5" t="s">
        <v>50</v>
      </c>
      <c r="AM16" s="5" t="s">
        <v>65</v>
      </c>
    </row>
    <row r="19" spans="2:39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[5]Main!$C$6*F54</f>
        <v>30.140100000000004</v>
      </c>
      <c r="G19" s="17">
        <f>[5]Main!$C$7</f>
        <v>597.779</v>
      </c>
      <c r="H19" s="17">
        <f>[5]Main!$C$8*F54</f>
        <v>18017.118837900001</v>
      </c>
      <c r="I19" s="17">
        <f>[5]Main!$C$11*F54</f>
        <v>1646.60364</v>
      </c>
      <c r="J19" s="17">
        <f>[5]Main!$C$12*F54</f>
        <v>16370.5151979</v>
      </c>
      <c r="K19" s="5" t="str">
        <f>[5]Main!$G$11</f>
        <v>Q322</v>
      </c>
      <c r="L19" s="5">
        <f>[5]Main!$H$11</f>
        <v>0</v>
      </c>
      <c r="M19" s="27">
        <f>'[5]Financial Model'!$AP$26*F54</f>
        <v>53.598836857595423</v>
      </c>
      <c r="N19" s="32">
        <f>'[5]Financial Model'!$AP$28</f>
        <v>0.77832312625357636</v>
      </c>
      <c r="O19" s="32">
        <f>'[5]Financial Model'!$AP$22</f>
        <v>0.09</v>
      </c>
      <c r="Q19" s="21">
        <f>[5]Main!$G$16</f>
        <v>52.387601721181568</v>
      </c>
      <c r="R19" s="21">
        <f>[5]Main!$G$17</f>
        <v>11.590025427513091</v>
      </c>
      <c r="X19" s="25">
        <f>'[5]Financial Model'!$W$18*F54</f>
        <v>-407.82689999999997</v>
      </c>
      <c r="Y19" s="25">
        <f>'[5]Financial Model'!$V$18*F54</f>
        <v>-211.26095999999995</v>
      </c>
      <c r="Z19" s="23" t="s">
        <v>139</v>
      </c>
      <c r="AA19" s="23" t="s">
        <v>139</v>
      </c>
      <c r="AC19" s="18">
        <f>'[5]Financial Model'!$M$22</f>
        <v>0.75577498469211346</v>
      </c>
      <c r="AD19" s="18">
        <f>'[5]Financial Model'!$M$23</f>
        <v>-0.5794918747476856</v>
      </c>
      <c r="AE19" s="18">
        <f>'[5]Financial Model'!$M$24</f>
        <v>-0.5831522463478378</v>
      </c>
      <c r="AF19" s="18">
        <f>'[5]Financial Model'!$M$25</f>
        <v>-1.1673022715967497E-3</v>
      </c>
      <c r="AH19" s="5">
        <f>[5]Main!$G$8</f>
        <v>2004</v>
      </c>
      <c r="AI19" s="5">
        <f>[5]Main!$G$7</f>
        <v>2021</v>
      </c>
      <c r="AJ19" s="5" t="str">
        <f>[5]Main!$G$6</f>
        <v>San Mateo, CA</v>
      </c>
      <c r="AL19" s="5" t="s">
        <v>60</v>
      </c>
      <c r="AM19" s="5" t="s">
        <v>62</v>
      </c>
    </row>
    <row r="20" spans="2:39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[6]Main!$C$6*F54</f>
        <v>27.078300000000002</v>
      </c>
      <c r="G20" s="17">
        <f>[6]Main!$C$7</f>
        <v>296.01300300000003</v>
      </c>
      <c r="H20" s="17">
        <f>[6]Main!$C$8*F54</f>
        <v>8015.5288991349007</v>
      </c>
      <c r="I20" s="19">
        <f>[6]Main!$C$11*F54</f>
        <v>-425.90609999999998</v>
      </c>
      <c r="J20" s="17">
        <f>[6]Main!$C$12*F54</f>
        <v>8441.4349991349009</v>
      </c>
      <c r="K20" s="26" t="str">
        <f>[6]Main!$C$26</f>
        <v>Q122</v>
      </c>
      <c r="L20" s="26">
        <f>[6]Main!$D$26</f>
        <v>0</v>
      </c>
      <c r="AL20" s="5" t="s">
        <v>60</v>
      </c>
      <c r="AM20" s="5" t="s">
        <v>61</v>
      </c>
    </row>
    <row r="22" spans="2:39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[8]Main!$C$6*$F$54</f>
        <v>42.8733</v>
      </c>
      <c r="G22" s="17">
        <f>[8]Main!$C$7</f>
        <v>1269.4252260000001</v>
      </c>
      <c r="H22" s="17">
        <f>[8]Main!$C$8*F54</f>
        <v>54424.448541865808</v>
      </c>
      <c r="I22" s="17">
        <f>[8]Main!$C$11*F54</f>
        <v>3263.2534799999999</v>
      </c>
      <c r="J22" s="17">
        <f>[8]Main!$C$12*F54</f>
        <v>51161.195061865808</v>
      </c>
      <c r="K22" s="5" t="str">
        <f>[8]Main!$C$28</f>
        <v>Q322</v>
      </c>
      <c r="L22" s="8">
        <f>[8]Main!$D$28</f>
        <v>46661</v>
      </c>
      <c r="Q22" s="21">
        <f>[8]Main!$C$33</f>
        <v>7.729278198315245</v>
      </c>
      <c r="AC22" s="18">
        <f>'[8]Financial Model'!$U$29</f>
        <v>0.48479871175523354</v>
      </c>
      <c r="AH22" s="5">
        <f>[8]Main!$C$24</f>
        <v>2004</v>
      </c>
      <c r="AI22" s="5">
        <f>[8]Main!$C$25</f>
        <v>2015</v>
      </c>
      <c r="AJ22" s="5" t="str">
        <f>[8]Main!$C$23</f>
        <v>Ottowa, Canada</v>
      </c>
      <c r="AL22" s="5" t="s">
        <v>84</v>
      </c>
      <c r="AM22" s="5" t="s">
        <v>142</v>
      </c>
    </row>
    <row r="23" spans="2:39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[7]Main!$C$6*F54</f>
        <v>40.095000000000006</v>
      </c>
      <c r="G23" s="19">
        <f>[7]Main!$C$7</f>
        <v>542.659087</v>
      </c>
      <c r="H23" s="17">
        <f>[7]Main!$C$8*F54</f>
        <v>21757.916093265001</v>
      </c>
      <c r="I23" s="17">
        <f>[7]Main!$C$11*F54</f>
        <v>-3430.3500000000004</v>
      </c>
      <c r="J23" s="17">
        <f>[7]Main!$C$12*F54</f>
        <v>25188.266093265003</v>
      </c>
      <c r="K23" s="5" t="str">
        <f>[7]Main!$C$28</f>
        <v>Q322</v>
      </c>
      <c r="L23" s="8">
        <f>[7]Main!$D$28</f>
        <v>37561</v>
      </c>
      <c r="M23" s="27">
        <f>'[7]Financial Model'!$AW$29*$F$54</f>
        <v>46.397701300113674</v>
      </c>
      <c r="N23" s="32">
        <f>'[7]Financial Model'!$AW$31</f>
        <v>0.15719419628666098</v>
      </c>
      <c r="O23" s="32">
        <f>'[7]Financial Model'!$AW$25</f>
        <v>0.08</v>
      </c>
      <c r="P23" s="8"/>
      <c r="Q23" s="21">
        <f>[7]Main!$C$33</f>
        <v>5.5350555958170204</v>
      </c>
      <c r="R23" s="21">
        <f>[7]Main!$C$34</f>
        <v>2.7138436862497475</v>
      </c>
      <c r="S23" s="21">
        <f>[7]Main!$C$35</f>
        <v>3.1417079012426754</v>
      </c>
      <c r="T23" s="21">
        <f>[7]Main!$C$36</f>
        <v>-421.2402023888468</v>
      </c>
      <c r="U23" s="21">
        <f>[7]Main!$C$37</f>
        <v>1110.5937430892857</v>
      </c>
      <c r="V23" s="8"/>
      <c r="W23" s="8"/>
      <c r="X23" s="25">
        <f>'[7]Financial Model'!$AE$20*F54</f>
        <v>-1091.0700000000002</v>
      </c>
      <c r="Y23" s="25">
        <f>'[7]Financial Model'!$AD$20*F54</f>
        <v>5885.46</v>
      </c>
      <c r="Z23" s="25">
        <f>'[7]Financial Model'!$AC$20*F54</f>
        <v>1397.25</v>
      </c>
      <c r="AA23" s="25">
        <f>'[7]Financial Model'!$AC$20*G54</f>
        <v>2129.6296296296296</v>
      </c>
      <c r="AC23" s="18">
        <f>'[7]Financial Model'!$U$27</f>
        <v>0.72890843662534988</v>
      </c>
      <c r="AD23" s="18">
        <f>'[7]Financial Model'!$U$28</f>
        <v>0.2646941223510596</v>
      </c>
      <c r="AE23" s="18">
        <f>'[7]Financial Model'!$U$29</f>
        <v>0.10555777688924431</v>
      </c>
      <c r="AF23" s="18">
        <f>'[7]Financial Model'!$U$30</f>
        <v>0.34792626728110598</v>
      </c>
      <c r="AH23" s="5">
        <f>[7]Main!$C$24</f>
        <v>1995</v>
      </c>
      <c r="AI23" s="5">
        <f>[7]Main!$C$25</f>
        <v>1998</v>
      </c>
      <c r="AJ23" s="5" t="str">
        <f>[7]Main!$C$23</f>
        <v>San Jose, CA</v>
      </c>
      <c r="AL23" s="5" t="s">
        <v>84</v>
      </c>
      <c r="AM23" s="5" t="s">
        <v>86</v>
      </c>
    </row>
    <row r="24" spans="2:39" x14ac:dyDescent="0.2">
      <c r="B24" s="1" t="s">
        <v>83</v>
      </c>
      <c r="C24" s="6" t="s">
        <v>138</v>
      </c>
      <c r="D24" s="5" t="s">
        <v>33</v>
      </c>
      <c r="E24" s="5" t="s">
        <v>17</v>
      </c>
      <c r="AL24" s="5" t="s">
        <v>84</v>
      </c>
      <c r="AM24" s="5" t="s">
        <v>118</v>
      </c>
    </row>
    <row r="25" spans="2:39" x14ac:dyDescent="0.2">
      <c r="B25" s="1" t="s">
        <v>89</v>
      </c>
      <c r="C25" s="6" t="s">
        <v>90</v>
      </c>
      <c r="D25" s="5" t="s">
        <v>33</v>
      </c>
      <c r="E25" s="5" t="s">
        <v>17</v>
      </c>
      <c r="AL25" s="5" t="s">
        <v>84</v>
      </c>
      <c r="AM25" s="5"/>
    </row>
    <row r="26" spans="2:39" x14ac:dyDescent="0.2">
      <c r="B26" s="1" t="s">
        <v>91</v>
      </c>
      <c r="C26" s="6" t="s">
        <v>92</v>
      </c>
      <c r="D26" s="5" t="s">
        <v>30</v>
      </c>
      <c r="AL26" s="5" t="s">
        <v>84</v>
      </c>
      <c r="AM26" s="5"/>
    </row>
    <row r="27" spans="2:39" x14ac:dyDescent="0.2">
      <c r="B27" s="1" t="s">
        <v>93</v>
      </c>
      <c r="C27" s="6" t="s">
        <v>94</v>
      </c>
      <c r="D27" s="5" t="s">
        <v>33</v>
      </c>
      <c r="AM27" s="5"/>
    </row>
    <row r="30" spans="2:39" x14ac:dyDescent="0.2">
      <c r="B30" s="1" t="s">
        <v>66</v>
      </c>
      <c r="C30" s="6" t="s">
        <v>67</v>
      </c>
      <c r="D30" s="5" t="s">
        <v>31</v>
      </c>
      <c r="E30" s="5" t="s">
        <v>16</v>
      </c>
      <c r="AL30" s="5" t="s">
        <v>70</v>
      </c>
    </row>
    <row r="31" spans="2:39" x14ac:dyDescent="0.2">
      <c r="B31" s="1" t="s">
        <v>68</v>
      </c>
      <c r="C31" s="6" t="s">
        <v>69</v>
      </c>
      <c r="D31" s="5" t="s">
        <v>33</v>
      </c>
      <c r="E31" s="5" t="s">
        <v>17</v>
      </c>
      <c r="AL31" s="5" t="s">
        <v>70</v>
      </c>
    </row>
    <row r="34" spans="2:39" x14ac:dyDescent="0.2">
      <c r="B34" s="1" t="s">
        <v>106</v>
      </c>
      <c r="C34" s="6" t="s">
        <v>107</v>
      </c>
      <c r="D34" s="5" t="s">
        <v>30</v>
      </c>
      <c r="AL34" s="5" t="s">
        <v>84</v>
      </c>
      <c r="AM34" s="5" t="s">
        <v>112</v>
      </c>
    </row>
    <row r="35" spans="2:39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AL35" s="5" t="s">
        <v>84</v>
      </c>
      <c r="AM35" s="5" t="s">
        <v>112</v>
      </c>
    </row>
    <row r="36" spans="2:39" x14ac:dyDescent="0.2">
      <c r="B36" s="1" t="s">
        <v>110</v>
      </c>
      <c r="C36" s="6" t="s">
        <v>111</v>
      </c>
      <c r="D36" s="5" t="s">
        <v>30</v>
      </c>
      <c r="AL36" s="5" t="s">
        <v>84</v>
      </c>
      <c r="AM36" s="5" t="s">
        <v>112</v>
      </c>
    </row>
    <row r="39" spans="2:39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AH39" s="5">
        <v>2007</v>
      </c>
      <c r="AI39" s="5">
        <v>2021</v>
      </c>
      <c r="AJ39" s="5" t="s">
        <v>117</v>
      </c>
      <c r="AL39" s="5" t="s">
        <v>116</v>
      </c>
      <c r="AM39" s="5" t="s">
        <v>115</v>
      </c>
    </row>
    <row r="40" spans="2:39" x14ac:dyDescent="0.2">
      <c r="G40" s="19"/>
      <c r="H40" s="17"/>
      <c r="AM40" s="5"/>
    </row>
    <row r="41" spans="2:39" x14ac:dyDescent="0.2">
      <c r="G41" s="19"/>
      <c r="H41" s="17"/>
      <c r="AM41" s="5"/>
    </row>
    <row r="42" spans="2:39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332.82*F54</f>
        <v>269.58420000000001</v>
      </c>
      <c r="G42" s="19">
        <v>445.02</v>
      </c>
      <c r="H42" s="17">
        <f>G42*F42</f>
        <v>119970.360684</v>
      </c>
      <c r="AL42" s="5" t="s">
        <v>126</v>
      </c>
      <c r="AM42" s="5" t="s">
        <v>124</v>
      </c>
    </row>
    <row r="43" spans="2:39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92.06*F54</f>
        <v>74.568600000000004</v>
      </c>
      <c r="G43" s="19">
        <v>193.13</v>
      </c>
      <c r="H43" s="17">
        <f>G43*F43</f>
        <v>14401.433718</v>
      </c>
      <c r="AL43" s="5" t="s">
        <v>126</v>
      </c>
      <c r="AM43" s="5" t="s">
        <v>125</v>
      </c>
    </row>
    <row r="44" spans="2:39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AL44" s="5" t="s">
        <v>136</v>
      </c>
      <c r="AM44" s="5" t="s">
        <v>137</v>
      </c>
    </row>
    <row r="45" spans="2:39" x14ac:dyDescent="0.2">
      <c r="G45" s="19"/>
      <c r="H45" s="17"/>
      <c r="AM45" s="5"/>
    </row>
    <row r="46" spans="2:39" x14ac:dyDescent="0.2">
      <c r="B46" s="1" t="s">
        <v>130</v>
      </c>
      <c r="C46" s="6" t="s">
        <v>128</v>
      </c>
      <c r="G46" s="19"/>
      <c r="H46" s="17"/>
      <c r="AM46" s="5"/>
    </row>
    <row r="47" spans="2:39" x14ac:dyDescent="0.2">
      <c r="B47" s="1" t="s">
        <v>131</v>
      </c>
      <c r="C47" s="6" t="s">
        <v>127</v>
      </c>
      <c r="G47" s="19"/>
      <c r="H47" s="17"/>
      <c r="AM47" s="5"/>
    </row>
    <row r="48" spans="2:39" x14ac:dyDescent="0.2">
      <c r="B48" s="1" t="s">
        <v>132</v>
      </c>
      <c r="C48" s="6" t="s">
        <v>129</v>
      </c>
      <c r="G48" s="19"/>
      <c r="H48" s="17"/>
      <c r="AM48" s="5"/>
    </row>
    <row r="49" spans="5:39" x14ac:dyDescent="0.2">
      <c r="G49" s="19"/>
      <c r="H49" s="17"/>
      <c r="AM49" s="5"/>
    </row>
    <row r="53" spans="5:39" x14ac:dyDescent="0.2">
      <c r="E53" s="33" t="s">
        <v>25</v>
      </c>
      <c r="F53" s="34"/>
      <c r="G53" s="9" t="s">
        <v>26</v>
      </c>
    </row>
    <row r="54" spans="5:39" x14ac:dyDescent="0.2">
      <c r="E54" s="10" t="s">
        <v>27</v>
      </c>
      <c r="F54" s="11">
        <v>0.81</v>
      </c>
      <c r="G54" s="12">
        <f>1/F54</f>
        <v>1.2345679012345678</v>
      </c>
    </row>
    <row r="55" spans="5:39" x14ac:dyDescent="0.2">
      <c r="E55" s="13" t="s">
        <v>28</v>
      </c>
      <c r="F55" s="14">
        <v>0.87</v>
      </c>
      <c r="G55" s="15">
        <f>1/F55</f>
        <v>1.1494252873563218</v>
      </c>
    </row>
  </sheetData>
  <mergeCells count="3">
    <mergeCell ref="E53:F53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</hyperlinks>
  <pageMargins left="0.7" right="0.7" top="0.75" bottom="0.75" header="0.3" footer="0.3"/>
  <pageSetup paperSize="256" orientation="portrait" horizontalDpi="203" verticalDpi="203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2023-02-04T15:59:39Z</dcterms:modified>
</cp:coreProperties>
</file>