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A767BE9-9EA7-4C1D-84A9-D0D6A66EDDC8}" xr6:coauthVersionLast="36" xr6:coauthVersionMax="47" xr10:uidLastSave="{00000000-0000-0000-0000-000000000000}"/>
  <bookViews>
    <workbookView xWindow="-120" yWindow="-120" windowWidth="29040" windowHeight="15720" activeTab="1" xr2:uid="{0B0D3E06-E58D-4F1F-A8B8-3BC216B2A3D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2" l="1"/>
  <c r="W18" i="2"/>
  <c r="X18" i="2" s="1"/>
  <c r="AB7" i="2"/>
  <c r="AC7" i="2" s="1"/>
  <c r="AD7" i="2" s="1"/>
  <c r="AE7" i="2" s="1"/>
  <c r="AA7" i="2"/>
  <c r="Z7" i="2"/>
  <c r="AH33" i="2"/>
  <c r="AH30" i="2"/>
  <c r="AF16" i="2"/>
  <c r="AE29" i="2"/>
  <c r="AD29" i="2"/>
  <c r="AC29" i="2"/>
  <c r="AB29" i="2"/>
  <c r="AA29" i="2"/>
  <c r="Z29" i="2"/>
  <c r="Y29" i="2"/>
  <c r="X29" i="2"/>
  <c r="X10" i="2"/>
  <c r="Y10" i="2" s="1"/>
  <c r="Z10" i="2" s="1"/>
  <c r="AA10" i="2" s="1"/>
  <c r="AB10" i="2" s="1"/>
  <c r="AC10" i="2" s="1"/>
  <c r="AD10" i="2" s="1"/>
  <c r="AE10" i="2" s="1"/>
  <c r="Y9" i="2"/>
  <c r="X9" i="2"/>
  <c r="Y7" i="2"/>
  <c r="X7" i="2"/>
  <c r="X19" i="2"/>
  <c r="X17" i="2"/>
  <c r="W19" i="2"/>
  <c r="W17" i="2"/>
  <c r="W10" i="2"/>
  <c r="W28" i="2"/>
  <c r="W7" i="2"/>
  <c r="X11" i="2"/>
  <c r="W11" i="2"/>
  <c r="X12" i="2"/>
  <c r="W12" i="2"/>
  <c r="Y13" i="2"/>
  <c r="X13" i="2"/>
  <c r="W13" i="2"/>
  <c r="Y18" i="2" l="1"/>
  <c r="Z18" i="2"/>
  <c r="AB18" i="2" s="1"/>
  <c r="AA18" i="2"/>
  <c r="AG16" i="2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AA9" i="2"/>
  <c r="X14" i="2"/>
  <c r="Z9" i="2"/>
  <c r="Y19" i="2"/>
  <c r="Z19" i="2" s="1"/>
  <c r="Y17" i="2"/>
  <c r="Y11" i="2"/>
  <c r="Z11" i="2" s="1"/>
  <c r="W14" i="2"/>
  <c r="Y12" i="2"/>
  <c r="Z13" i="2"/>
  <c r="AC18" i="2" l="1"/>
  <c r="AH29" i="2"/>
  <c r="AH31" i="2" s="1"/>
  <c r="AH32" i="2" s="1"/>
  <c r="AH34" i="2" s="1"/>
  <c r="W15" i="2"/>
  <c r="W16" i="2" s="1"/>
  <c r="X15" i="2"/>
  <c r="X16" i="2" s="1"/>
  <c r="X20" i="2" s="1"/>
  <c r="X21" i="2" s="1"/>
  <c r="AC9" i="2"/>
  <c r="AB9" i="2"/>
  <c r="AA19" i="2"/>
  <c r="Z17" i="2"/>
  <c r="AA11" i="2"/>
  <c r="Y14" i="2"/>
  <c r="Z12" i="2"/>
  <c r="AA13" i="2"/>
  <c r="AD18" i="2" l="1"/>
  <c r="AE18" i="2" s="1"/>
  <c r="W29" i="2"/>
  <c r="W20" i="2"/>
  <c r="W21" i="2" s="1"/>
  <c r="AD9" i="2"/>
  <c r="AE9" i="2" s="1"/>
  <c r="Y15" i="2"/>
  <c r="Y16" i="2" s="1"/>
  <c r="Y20" i="2" s="1"/>
  <c r="Y21" i="2" s="1"/>
  <c r="AB19" i="2"/>
  <c r="AC19" i="2" s="1"/>
  <c r="AA17" i="2"/>
  <c r="AD19" i="2"/>
  <c r="AB11" i="2"/>
  <c r="AC11" i="2"/>
  <c r="AA12" i="2"/>
  <c r="AB12" i="2"/>
  <c r="Z14" i="2"/>
  <c r="AC12" i="2"/>
  <c r="AA14" i="2"/>
  <c r="AB13" i="2"/>
  <c r="AC13" i="2"/>
  <c r="AA15" i="2" l="1"/>
  <c r="AA16" i="2" s="1"/>
  <c r="AA20" i="2" s="1"/>
  <c r="AA21" i="2" s="1"/>
  <c r="Z15" i="2"/>
  <c r="Z16" i="2" s="1"/>
  <c r="Z20" i="2" s="1"/>
  <c r="Z21" i="2" s="1"/>
  <c r="AE19" i="2"/>
  <c r="AB17" i="2"/>
  <c r="AC17" i="2" s="1"/>
  <c r="AE11" i="2"/>
  <c r="AD11" i="2"/>
  <c r="AC14" i="2"/>
  <c r="AD12" i="2"/>
  <c r="AE12" i="2" s="1"/>
  <c r="AB14" i="2"/>
  <c r="AD13" i="2"/>
  <c r="AB15" i="2" l="1"/>
  <c r="AB16" i="2" s="1"/>
  <c r="AB20" i="2" s="1"/>
  <c r="AB21" i="2" s="1"/>
  <c r="AC15" i="2"/>
  <c r="AC16" i="2" s="1"/>
  <c r="AC20" i="2" s="1"/>
  <c r="AC21" i="2" s="1"/>
  <c r="AD17" i="2"/>
  <c r="AD14" i="2"/>
  <c r="AE13" i="2"/>
  <c r="AE14" i="2" s="1"/>
  <c r="AE15" i="2" l="1"/>
  <c r="AE16" i="2" s="1"/>
  <c r="AD15" i="2"/>
  <c r="AD16" i="2" s="1"/>
  <c r="AD20" i="2" s="1"/>
  <c r="AD21" i="2" s="1"/>
  <c r="AE17" i="2"/>
  <c r="AE20" i="2" l="1"/>
  <c r="AE21" i="2" s="1"/>
  <c r="X2" i="2" l="1"/>
  <c r="Y2" i="2" s="1"/>
  <c r="Z2" i="2" s="1"/>
  <c r="AA2" i="2" s="1"/>
  <c r="AB2" i="2" s="1"/>
  <c r="AC2" i="2" s="1"/>
  <c r="AD2" i="2" s="1"/>
  <c r="AE2" i="2" s="1"/>
  <c r="X30" i="2"/>
  <c r="Y30" i="2" s="1"/>
  <c r="Z30" i="2" s="1"/>
  <c r="AA30" i="2" s="1"/>
  <c r="AB30" i="2" s="1"/>
  <c r="AC30" i="2" s="1"/>
  <c r="AD30" i="2" s="1"/>
  <c r="AE30" i="2" s="1"/>
  <c r="W9" i="2"/>
  <c r="P52" i="2" l="1"/>
  <c r="R101" i="2"/>
  <c r="Q101" i="2"/>
  <c r="P101" i="2"/>
  <c r="O101" i="2"/>
  <c r="D3" i="2"/>
  <c r="F3" i="2"/>
  <c r="H3" i="2"/>
  <c r="J3" i="2"/>
  <c r="L3" i="2"/>
  <c r="D2" i="2"/>
  <c r="F2" i="2"/>
  <c r="H2" i="2"/>
  <c r="J2" i="2"/>
  <c r="L2" i="2"/>
  <c r="P98" i="2"/>
  <c r="O98" i="2"/>
  <c r="Q96" i="2"/>
  <c r="P96" i="2"/>
  <c r="P92" i="2"/>
  <c r="O92" i="2"/>
  <c r="O74" i="2"/>
  <c r="O73" i="2"/>
  <c r="O93" i="2" s="1"/>
  <c r="O111" i="2" s="1"/>
  <c r="O59" i="2"/>
  <c r="P74" i="2"/>
  <c r="P73" i="2"/>
  <c r="P93" i="2" s="1"/>
  <c r="P111" i="2" s="1"/>
  <c r="P59" i="2"/>
  <c r="Q24" i="2"/>
  <c r="P24" i="2"/>
  <c r="O19" i="2"/>
  <c r="P19" i="2"/>
  <c r="R98" i="2"/>
  <c r="Q98" i="2"/>
  <c r="S96" i="2"/>
  <c r="R96" i="2"/>
  <c r="R93" i="2"/>
  <c r="R111" i="2" s="1"/>
  <c r="R92" i="2"/>
  <c r="Q92" i="2"/>
  <c r="Q78" i="2"/>
  <c r="Q73" i="2"/>
  <c r="Q74" i="2"/>
  <c r="Q59" i="2"/>
  <c r="R78" i="2"/>
  <c r="R74" i="2"/>
  <c r="R59" i="2"/>
  <c r="S24" i="2"/>
  <c r="R24" i="2"/>
  <c r="R19" i="2"/>
  <c r="R40" i="2"/>
  <c r="Q40" i="2"/>
  <c r="P40" i="2"/>
  <c r="O40" i="2"/>
  <c r="V40" i="2"/>
  <c r="U40" i="2"/>
  <c r="T40" i="2"/>
  <c r="S40" i="2"/>
  <c r="Q93" i="2" l="1"/>
  <c r="Q111" i="2" s="1"/>
  <c r="R106" i="2"/>
  <c r="O106" i="2"/>
  <c r="P106" i="2"/>
  <c r="Q106" i="2"/>
  <c r="W22" i="2"/>
  <c r="X22" i="2" s="1"/>
  <c r="Y22" i="2" s="1"/>
  <c r="Z22" i="2" s="1"/>
  <c r="AA22" i="2" s="1"/>
  <c r="AB22" i="2" s="1"/>
  <c r="AC22" i="2" s="1"/>
  <c r="AD22" i="2" s="1"/>
  <c r="AE22" i="2" s="1"/>
  <c r="W4" i="2"/>
  <c r="W5" i="2" l="1"/>
  <c r="W6" i="2" s="1"/>
  <c r="W8" i="2" s="1"/>
  <c r="X4" i="2"/>
  <c r="T101" i="2"/>
  <c r="S101" i="2"/>
  <c r="S106" i="2" s="1"/>
  <c r="S98" i="2"/>
  <c r="T96" i="2"/>
  <c r="S92" i="2"/>
  <c r="S81" i="2"/>
  <c r="S78" i="2"/>
  <c r="S93" i="2" s="1"/>
  <c r="S111" i="2" s="1"/>
  <c r="S74" i="2"/>
  <c r="S59" i="2"/>
  <c r="Y4" i="2" l="1"/>
  <c r="X5" i="2"/>
  <c r="X6" i="2" s="1"/>
  <c r="X8" i="2" s="1"/>
  <c r="X28" i="2" s="1"/>
  <c r="T106" i="2"/>
  <c r="T98" i="2"/>
  <c r="U96" i="2"/>
  <c r="T93" i="2"/>
  <c r="T111" i="2" s="1"/>
  <c r="T92" i="2"/>
  <c r="T59" i="2"/>
  <c r="T24" i="2"/>
  <c r="S13" i="2"/>
  <c r="S7" i="2"/>
  <c r="U24" i="2"/>
  <c r="T27" i="2"/>
  <c r="T8" i="2"/>
  <c r="T10" i="2" s="1"/>
  <c r="T14" i="2" s="1"/>
  <c r="T16" i="2" s="1"/>
  <c r="T20" i="2" s="1"/>
  <c r="T21" i="2" s="1"/>
  <c r="T107" i="2" s="1"/>
  <c r="S6" i="2"/>
  <c r="R6" i="2"/>
  <c r="Q6" i="2"/>
  <c r="P6" i="2"/>
  <c r="O6" i="2"/>
  <c r="T6" i="2"/>
  <c r="Z4" i="2" l="1"/>
  <c r="Y5" i="2"/>
  <c r="Y6" i="2"/>
  <c r="Y8" i="2" s="1"/>
  <c r="Y28" i="2" s="1"/>
  <c r="S8" i="2"/>
  <c r="S10" i="2" s="1"/>
  <c r="S14" i="2"/>
  <c r="S16" i="2" s="1"/>
  <c r="S20" i="2" s="1"/>
  <c r="S21" i="2" s="1"/>
  <c r="S107" i="2" s="1"/>
  <c r="T29" i="2"/>
  <c r="P8" i="2"/>
  <c r="P27" i="2"/>
  <c r="T30" i="2"/>
  <c r="O8" i="2"/>
  <c r="O27" i="2"/>
  <c r="S27" i="2"/>
  <c r="S28" i="2"/>
  <c r="T28" i="2"/>
  <c r="Q8" i="2"/>
  <c r="Q27" i="2"/>
  <c r="R8" i="2"/>
  <c r="R27" i="2"/>
  <c r="U101" i="2"/>
  <c r="U106" i="2" s="1"/>
  <c r="V101" i="2"/>
  <c r="V106" i="2" s="1"/>
  <c r="C28" i="1"/>
  <c r="U98" i="2"/>
  <c r="V98" i="2"/>
  <c r="AA4" i="2" l="1"/>
  <c r="Z5" i="2"/>
  <c r="Z6" i="2" s="1"/>
  <c r="Z8" i="2" s="1"/>
  <c r="Z28" i="2" s="1"/>
  <c r="S30" i="2"/>
  <c r="S29" i="2"/>
  <c r="R10" i="2"/>
  <c r="R14" i="2" s="1"/>
  <c r="R28" i="2"/>
  <c r="O10" i="2"/>
  <c r="O14" i="2" s="1"/>
  <c r="O28" i="2"/>
  <c r="P10" i="2"/>
  <c r="P14" i="2" s="1"/>
  <c r="P28" i="2"/>
  <c r="Q10" i="2"/>
  <c r="Q14" i="2" s="1"/>
  <c r="Q28" i="2"/>
  <c r="U50" i="2"/>
  <c r="T50" i="2"/>
  <c r="S50" i="2"/>
  <c r="R50" i="2"/>
  <c r="Q50" i="2"/>
  <c r="P50" i="2"/>
  <c r="O50" i="2"/>
  <c r="U47" i="2"/>
  <c r="T47" i="2"/>
  <c r="S47" i="2"/>
  <c r="R47" i="2"/>
  <c r="Q47" i="2"/>
  <c r="P47" i="2"/>
  <c r="U38" i="2"/>
  <c r="T38" i="2"/>
  <c r="S38" i="2"/>
  <c r="R38" i="2"/>
  <c r="Q38" i="2"/>
  <c r="P38" i="2"/>
  <c r="O38" i="2"/>
  <c r="U35" i="2"/>
  <c r="T35" i="2"/>
  <c r="S35" i="2"/>
  <c r="R35" i="2"/>
  <c r="Q35" i="2"/>
  <c r="P35" i="2"/>
  <c r="O35" i="2"/>
  <c r="V96" i="2"/>
  <c r="U93" i="2"/>
  <c r="U111" i="2" s="1"/>
  <c r="V93" i="2"/>
  <c r="U92" i="2"/>
  <c r="V92" i="2"/>
  <c r="C9" i="1" s="1"/>
  <c r="U59" i="2"/>
  <c r="V59" i="2"/>
  <c r="AB4" i="2" l="1"/>
  <c r="AA5" i="2"/>
  <c r="AA6" i="2" s="1"/>
  <c r="AA8" i="2" s="1"/>
  <c r="AA28" i="2" s="1"/>
  <c r="U46" i="2"/>
  <c r="P46" i="2"/>
  <c r="P54" i="2" s="1"/>
  <c r="R46" i="2"/>
  <c r="S46" i="2"/>
  <c r="S54" i="2" s="1"/>
  <c r="Q46" i="2"/>
  <c r="Q54" i="2" s="1"/>
  <c r="T46" i="2"/>
  <c r="T54" i="2" s="1"/>
  <c r="Q16" i="2"/>
  <c r="Q30" i="2"/>
  <c r="T34" i="2"/>
  <c r="T43" i="2" s="1"/>
  <c r="O34" i="2"/>
  <c r="O43" i="2" s="1"/>
  <c r="O16" i="2"/>
  <c r="O30" i="2"/>
  <c r="S34" i="2"/>
  <c r="S43" i="2" s="1"/>
  <c r="U34" i="2"/>
  <c r="U43" i="2" s="1"/>
  <c r="V111" i="2"/>
  <c r="C10" i="1"/>
  <c r="C11" i="1" s="1"/>
  <c r="P16" i="2"/>
  <c r="P30" i="2"/>
  <c r="R16" i="2"/>
  <c r="R30" i="2"/>
  <c r="P34" i="2"/>
  <c r="P43" i="2" s="1"/>
  <c r="Q34" i="2"/>
  <c r="R34" i="2"/>
  <c r="R43" i="2" s="1"/>
  <c r="U94" i="2"/>
  <c r="U102" i="2" s="1"/>
  <c r="T94" i="2"/>
  <c r="T102" i="2" s="1"/>
  <c r="S94" i="2"/>
  <c r="S102" i="2" s="1"/>
  <c r="R94" i="2"/>
  <c r="R102" i="2" s="1"/>
  <c r="Q94" i="2"/>
  <c r="Q102" i="2" s="1"/>
  <c r="P94" i="2"/>
  <c r="P102" i="2" s="1"/>
  <c r="O94" i="2"/>
  <c r="O102" i="2" s="1"/>
  <c r="V94" i="2"/>
  <c r="V102" i="2" s="1"/>
  <c r="U77" i="2"/>
  <c r="U84" i="2" s="1"/>
  <c r="T77" i="2"/>
  <c r="T84" i="2" s="1"/>
  <c r="S77" i="2"/>
  <c r="S84" i="2" s="1"/>
  <c r="R77" i="2"/>
  <c r="R84" i="2" s="1"/>
  <c r="R87" i="2" s="1"/>
  <c r="Q77" i="2"/>
  <c r="Q84" i="2" s="1"/>
  <c r="Q87" i="2" s="1"/>
  <c r="P77" i="2"/>
  <c r="P84" i="2" s="1"/>
  <c r="P87" i="2" s="1"/>
  <c r="O77" i="2"/>
  <c r="O84" i="2" s="1"/>
  <c r="O87" i="2" s="1"/>
  <c r="U65" i="2"/>
  <c r="U71" i="2" s="1"/>
  <c r="T65" i="2"/>
  <c r="T71" i="2" s="1"/>
  <c r="S65" i="2"/>
  <c r="S71" i="2" s="1"/>
  <c r="R65" i="2"/>
  <c r="R71" i="2" s="1"/>
  <c r="Q65" i="2"/>
  <c r="Q71" i="2" s="1"/>
  <c r="P65" i="2"/>
  <c r="P71" i="2" s="1"/>
  <c r="O65" i="2"/>
  <c r="O71" i="2" s="1"/>
  <c r="V77" i="2"/>
  <c r="V84" i="2" s="1"/>
  <c r="V87" i="2" s="1"/>
  <c r="V65" i="2"/>
  <c r="V71" i="2" s="1"/>
  <c r="V35" i="2"/>
  <c r="V34" i="2" s="1"/>
  <c r="V43" i="2" s="1"/>
  <c r="V38" i="2"/>
  <c r="V47" i="2"/>
  <c r="V50" i="2"/>
  <c r="D11" i="1"/>
  <c r="D10" i="1"/>
  <c r="D9" i="1"/>
  <c r="D7" i="1"/>
  <c r="C7" i="1"/>
  <c r="V24" i="2"/>
  <c r="U6" i="2"/>
  <c r="U27" i="2" s="1"/>
  <c r="V6" i="2"/>
  <c r="V8" i="2" s="1"/>
  <c r="AC4" i="2" l="1"/>
  <c r="AB5" i="2"/>
  <c r="AB6" i="2" s="1"/>
  <c r="AB8" i="2" s="1"/>
  <c r="AB28" i="2" s="1"/>
  <c r="Q42" i="2"/>
  <c r="Q43" i="2"/>
  <c r="R54" i="2"/>
  <c r="U54" i="2"/>
  <c r="C8" i="1"/>
  <c r="C37" i="1" s="1"/>
  <c r="P108" i="2"/>
  <c r="Q108" i="2"/>
  <c r="O108" i="2"/>
  <c r="U42" i="2"/>
  <c r="P42" i="2"/>
  <c r="R108" i="2"/>
  <c r="P89" i="2"/>
  <c r="P90" i="2" s="1"/>
  <c r="P105" i="2" s="1"/>
  <c r="Q89" i="2"/>
  <c r="Q90" i="2" s="1"/>
  <c r="Q105" i="2" s="1"/>
  <c r="O89" i="2"/>
  <c r="O90" i="2" s="1"/>
  <c r="O105" i="2" s="1"/>
  <c r="R20" i="2"/>
  <c r="R21" i="2" s="1"/>
  <c r="R107" i="2" s="1"/>
  <c r="R29" i="2"/>
  <c r="O20" i="2"/>
  <c r="O21" i="2" s="1"/>
  <c r="O107" i="2" s="1"/>
  <c r="O29" i="2"/>
  <c r="T108" i="2"/>
  <c r="T109" i="2"/>
  <c r="P20" i="2"/>
  <c r="P21" i="2" s="1"/>
  <c r="P107" i="2" s="1"/>
  <c r="P29" i="2"/>
  <c r="T42" i="2"/>
  <c r="U108" i="2"/>
  <c r="V89" i="2"/>
  <c r="V90" i="2" s="1"/>
  <c r="V108" i="2"/>
  <c r="S42" i="2"/>
  <c r="R42" i="2"/>
  <c r="Q20" i="2"/>
  <c r="Q21" i="2" s="1"/>
  <c r="Q107" i="2" s="1"/>
  <c r="Q29" i="2"/>
  <c r="R89" i="2"/>
  <c r="R90" i="2" s="1"/>
  <c r="R105" i="2" s="1"/>
  <c r="S89" i="2"/>
  <c r="S90" i="2" s="1"/>
  <c r="S105" i="2" s="1"/>
  <c r="S109" i="2"/>
  <c r="S108" i="2"/>
  <c r="T89" i="2"/>
  <c r="T90" i="2" s="1"/>
  <c r="T105" i="2" s="1"/>
  <c r="T87" i="2"/>
  <c r="S87" i="2"/>
  <c r="U89" i="2"/>
  <c r="U90" i="2" s="1"/>
  <c r="U105" i="2" s="1"/>
  <c r="U87" i="2"/>
  <c r="C12" i="1"/>
  <c r="V27" i="2"/>
  <c r="V10" i="2"/>
  <c r="V14" i="2" s="1"/>
  <c r="V28" i="2"/>
  <c r="U8" i="2"/>
  <c r="V46" i="2"/>
  <c r="AD4" i="2" l="1"/>
  <c r="AC5" i="2"/>
  <c r="AC6" i="2" s="1"/>
  <c r="AC8" i="2" s="1"/>
  <c r="AC28" i="2" s="1"/>
  <c r="C29" i="1"/>
  <c r="V54" i="2"/>
  <c r="O109" i="2"/>
  <c r="Q109" i="2"/>
  <c r="P109" i="2"/>
  <c r="R109" i="2"/>
  <c r="V105" i="2"/>
  <c r="C36" i="1"/>
  <c r="V42" i="2"/>
  <c r="C27" i="1"/>
  <c r="C38" i="1"/>
  <c r="V16" i="2"/>
  <c r="C40" i="1" s="1"/>
  <c r="V30" i="2"/>
  <c r="U28" i="2"/>
  <c r="U10" i="2"/>
  <c r="U14" i="2" s="1"/>
  <c r="AE4" i="2" l="1"/>
  <c r="AD5" i="2"/>
  <c r="AD6" i="2" s="1"/>
  <c r="AD8" i="2" s="1"/>
  <c r="AD28" i="2" s="1"/>
  <c r="V29" i="2"/>
  <c r="V20" i="2"/>
  <c r="U16" i="2"/>
  <c r="U30" i="2"/>
  <c r="AE5" i="2" l="1"/>
  <c r="AE6" i="2" s="1"/>
  <c r="AE8" i="2" s="1"/>
  <c r="AE28" i="2" s="1"/>
  <c r="V109" i="2"/>
  <c r="U20" i="2"/>
  <c r="U29" i="2"/>
  <c r="U21" i="2" l="1"/>
  <c r="U107" i="2" s="1"/>
  <c r="U109" i="2"/>
  <c r="C39" i="1"/>
  <c r="V10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7" authorId="0" shapeId="0" xr:uid="{96D9B0BA-09B7-4C96-B6B1-D3F9AE78D2EB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Gain on sale and leaseback of the Bedford warehouse</t>
        </r>
      </text>
    </comment>
  </commentList>
</comments>
</file>

<file path=xl/sharedStrings.xml><?xml version="1.0" encoding="utf-8"?>
<sst xmlns="http://schemas.openxmlformats.org/spreadsheetml/2006/main" count="206" uniqueCount="153">
  <si>
    <t>£BME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</si>
  <si>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</si>
  <si>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</si>
  <si>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</si>
  <si>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</si>
  <si>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</si>
  <si>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</si>
  <si>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</si>
  <si>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</si>
  <si>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</si>
  <si>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</si>
  <si>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</si>
  <si>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</si>
  <si>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</si>
  <si>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</si>
  <si>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</si>
  <si>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IPO</t>
  </si>
  <si>
    <t>Stores</t>
  </si>
  <si>
    <t>Inventory</t>
  </si>
  <si>
    <t>Update</t>
  </si>
  <si>
    <t>IR</t>
  </si>
  <si>
    <t>Alejandro Russo</t>
  </si>
  <si>
    <t>Mike Schmidt</t>
  </si>
  <si>
    <t>UK Head</t>
  </si>
  <si>
    <t>James Kew</t>
  </si>
  <si>
    <t>B&amp;M</t>
  </si>
  <si>
    <t>Heron Foods</t>
  </si>
  <si>
    <t>Wilko!?</t>
  </si>
  <si>
    <t>Luxembourg/Liverpool</t>
  </si>
  <si>
    <t>Valuation Metrics</t>
  </si>
  <si>
    <t>P/B</t>
  </si>
  <si>
    <t>P/S</t>
  </si>
  <si>
    <t>EV/S</t>
  </si>
  <si>
    <t>P/E</t>
  </si>
  <si>
    <t>EV/E</t>
  </si>
  <si>
    <t>ROCE</t>
  </si>
  <si>
    <t xml:space="preserve"> </t>
  </si>
  <si>
    <t>Link</t>
  </si>
  <si>
    <t>Non-Finance Metrics</t>
  </si>
  <si>
    <t>Store Count</t>
  </si>
  <si>
    <t>Headcount</t>
  </si>
  <si>
    <t>Revenue</t>
  </si>
  <si>
    <t>COGS</t>
  </si>
  <si>
    <t>Gross Profit</t>
  </si>
  <si>
    <t>FY23</t>
  </si>
  <si>
    <t>Administrative Expenses</t>
  </si>
  <si>
    <t>Operating Income</t>
  </si>
  <si>
    <t>Share of Profits in Associates</t>
  </si>
  <si>
    <t>Profit on Ordinary Activities</t>
  </si>
  <si>
    <t>Finance Costs on Lease</t>
  </si>
  <si>
    <t>Other Finance Costs</t>
  </si>
  <si>
    <t>Finance Income</t>
  </si>
  <si>
    <t>Pretax Income</t>
  </si>
  <si>
    <t>Taxes</t>
  </si>
  <si>
    <t>Net Income</t>
  </si>
  <si>
    <t>Fair Value Movement in Hedging</t>
  </si>
  <si>
    <t>Exchange Differences</t>
  </si>
  <si>
    <t>Tax Effect of Other Income</t>
  </si>
  <si>
    <t>Total Comprehensive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</si>
  <si>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</si>
  <si>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</si>
  <si>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</si>
  <si>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</si>
  <si>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</si>
  <si>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</si>
  <si>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</si>
  <si>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FY22</t>
  </si>
  <si>
    <t>FY21</t>
  </si>
  <si>
    <t>FY20</t>
  </si>
  <si>
    <t>FY19</t>
  </si>
  <si>
    <t>FY18</t>
  </si>
  <si>
    <t>FY17</t>
  </si>
  <si>
    <t>FY16</t>
  </si>
  <si>
    <t>-</t>
  </si>
  <si>
    <t>UK</t>
  </si>
  <si>
    <t>France</t>
  </si>
  <si>
    <t>Headcount Y/Y</t>
  </si>
  <si>
    <t>Store Count Y/Y</t>
  </si>
  <si>
    <t>Balance Sheet</t>
  </si>
  <si>
    <t>Goodwill+Intangibles</t>
  </si>
  <si>
    <t>PP&amp;E</t>
  </si>
  <si>
    <t>ROU Assets</t>
  </si>
  <si>
    <t>Investments in Associates</t>
  </si>
  <si>
    <t>Other Receivables</t>
  </si>
  <si>
    <t>Deferred Taxes</t>
  </si>
  <si>
    <t>Total NCA</t>
  </si>
  <si>
    <t>Cash at Bank &amp; In Hand</t>
  </si>
  <si>
    <t>Inventories</t>
  </si>
  <si>
    <t>Trade &amp; A/R</t>
  </si>
  <si>
    <t>Other Financial Assets</t>
  </si>
  <si>
    <t>Assets</t>
  </si>
  <si>
    <t>Loans &amp; Borrowings</t>
  </si>
  <si>
    <t>Trade &amp; A/P</t>
  </si>
  <si>
    <t>Lease Liabilities</t>
  </si>
  <si>
    <t>Other Financial Liabilities</t>
  </si>
  <si>
    <t>Income Tax Payable</t>
  </si>
  <si>
    <t>Provisions</t>
  </si>
  <si>
    <t>Liabilities</t>
  </si>
  <si>
    <t>Total NCL</t>
  </si>
  <si>
    <t>S/E</t>
  </si>
  <si>
    <t>S/E+L</t>
  </si>
  <si>
    <t>Book Value</t>
  </si>
  <si>
    <t>Book Value per Share</t>
  </si>
  <si>
    <t>Inventories Y/Y</t>
  </si>
  <si>
    <t>Inventories H/H</t>
  </si>
  <si>
    <t>Share Price</t>
  </si>
  <si>
    <t>Market Cap</t>
  </si>
  <si>
    <t>Income Tax Receivables</t>
  </si>
  <si>
    <t>Home Bargains</t>
  </si>
  <si>
    <t>The Range</t>
  </si>
  <si>
    <t>Poundstretcher</t>
  </si>
  <si>
    <t>Poundland</t>
  </si>
  <si>
    <t>Wilko(?)</t>
  </si>
  <si>
    <t>OneBelow</t>
  </si>
  <si>
    <t>Savers</t>
  </si>
  <si>
    <t>Competitors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</si>
  <si>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</si>
  <si>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</si>
  <si>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</si>
  <si>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</si>
  <si>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</si>
  <si>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</si>
  <si>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</si>
  <si>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</si>
  <si>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</si>
  <si>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Operations</t>
  </si>
  <si>
    <t>Inventory/Revenue</t>
  </si>
  <si>
    <t>Key Events</t>
  </si>
  <si>
    <t>B&amp;M announce acquisition of Heron Foods with CEO Simon Arora describing the deal as a 'No-Brainer'</t>
  </si>
  <si>
    <t>Debt/Equity</t>
  </si>
  <si>
    <t>(EST.)</t>
  </si>
  <si>
    <t>B&amp;M Sells entire German Business Jawoll for 12.5m Euro after 'disappointing' financial performance</t>
  </si>
  <si>
    <t>Jawoll</t>
  </si>
  <si>
    <t>Germany</t>
  </si>
  <si>
    <t>H123</t>
  </si>
  <si>
    <t>H122</t>
  </si>
  <si>
    <t>H121</t>
  </si>
  <si>
    <t>H120</t>
  </si>
  <si>
    <t>H119</t>
  </si>
  <si>
    <t>H219</t>
  </si>
  <si>
    <t>H220</t>
  </si>
  <si>
    <t>H221</t>
  </si>
  <si>
    <t>H222</t>
  </si>
  <si>
    <t>H223</t>
  </si>
  <si>
    <t>B&amp;M European Value Retail S.A.</t>
  </si>
  <si>
    <t>Rev/Door</t>
  </si>
  <si>
    <t>Maturity Rate</t>
  </si>
  <si>
    <t>Discount Rate</t>
  </si>
  <si>
    <t>NPV</t>
  </si>
  <si>
    <t>Total Value</t>
  </si>
  <si>
    <t>Per Share</t>
  </si>
  <si>
    <t>Current SP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</si>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</sst>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#,##0.00000"/>
    <numFmt numFmtId="169" formatCode="#,##0.0_ ;[Red]\-#,##0.0\ 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b/>
      <i/>
      <sz val="10"/>
      <color theme="4"/>
      <name val="Arial"/>
      <family val="2"/>
    </font>
    <font>
      <i/>
      <sz val="10"/>
      <color theme="4"/>
      <name val="Arial"/>
      <family val="2"/>
    </font>
    <font>
      <i/>
      <sz val="10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4" fontId="1" fillId="0" borderId="0" xfId="0" applyNumberFormat="1" applyFont="1"/>
    <xf numFmtId="16" fontId="1" fillId="5" borderId="5" xfId="0" applyNumberFormat="1" applyFont="1" applyFill="1" applyBorder="1" applyAlignment="1">
      <alignment horizontal="center"/>
    </xf>
    <xf numFmtId="16" fontId="7" fillId="0" borderId="0" xfId="0" applyNumberFormat="1" applyFont="1"/>
    <xf numFmtId="3" fontId="1" fillId="0" borderId="0" xfId="0" applyNumberFormat="1" applyFont="1" applyAlignment="1">
      <alignment horizontal="left" indent="1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/>
    <xf numFmtId="0" fontId="10" fillId="0" borderId="0" xfId="0" applyFont="1"/>
    <xf numFmtId="3" fontId="1" fillId="0" borderId="0" xfId="0" applyNumberFormat="1" applyFont="1" applyAlignment="1">
      <alignment horizontal="right"/>
    </xf>
    <xf numFmtId="166" fontId="1" fillId="0" borderId="0" xfId="0" applyNumberFormat="1" applyFont="1"/>
    <xf numFmtId="3" fontId="9" fillId="6" borderId="0" xfId="0" applyNumberFormat="1" applyFont="1" applyFill="1"/>
    <xf numFmtId="9" fontId="1" fillId="0" borderId="0" xfId="0" applyNumberFormat="1" applyFont="1" applyAlignment="1">
      <alignment horizontal="right"/>
    </xf>
    <xf numFmtId="0" fontId="1" fillId="5" borderId="4" xfId="0" applyFont="1" applyFill="1" applyBorder="1" applyAlignment="1">
      <alignment horizontal="left" indent="1"/>
    </xf>
    <xf numFmtId="0" fontId="1" fillId="5" borderId="6" xfId="0" applyFont="1" applyFill="1" applyBorder="1" applyAlignment="1">
      <alignment horizontal="left" indent="1"/>
    </xf>
    <xf numFmtId="0" fontId="3" fillId="5" borderId="6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13" fillId="0" borderId="0" xfId="0" applyFont="1"/>
    <xf numFmtId="3" fontId="13" fillId="0" borderId="0" xfId="0" applyNumberFormat="1" applyFont="1"/>
    <xf numFmtId="165" fontId="10" fillId="0" borderId="0" xfId="0" applyNumberFormat="1" applyFont="1"/>
    <xf numFmtId="165" fontId="13" fillId="0" borderId="0" xfId="0" applyNumberFormat="1" applyFont="1"/>
    <xf numFmtId="0" fontId="2" fillId="4" borderId="0" xfId="0" applyFont="1" applyFill="1" applyAlignment="1">
      <alignment horizontal="right"/>
    </xf>
    <xf numFmtId="0" fontId="7" fillId="4" borderId="0" xfId="0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164" fontId="1" fillId="4" borderId="0" xfId="0" applyNumberFormat="1" applyFont="1" applyFill="1"/>
    <xf numFmtId="3" fontId="2" fillId="4" borderId="0" xfId="0" applyNumberFormat="1" applyFont="1" applyFill="1"/>
    <xf numFmtId="3" fontId="1" fillId="4" borderId="0" xfId="0" applyNumberFormat="1" applyFont="1" applyFill="1"/>
    <xf numFmtId="3" fontId="13" fillId="4" borderId="0" xfId="0" applyNumberFormat="1" applyFont="1" applyFill="1"/>
    <xf numFmtId="3" fontId="9" fillId="4" borderId="0" xfId="0" applyNumberFormat="1" applyFont="1" applyFill="1"/>
    <xf numFmtId="0" fontId="13" fillId="4" borderId="0" xfId="0" applyFont="1" applyFill="1"/>
    <xf numFmtId="166" fontId="1" fillId="4" borderId="0" xfId="0" applyNumberFormat="1" applyFont="1" applyFill="1"/>
    <xf numFmtId="0" fontId="10" fillId="4" borderId="0" xfId="0" applyFont="1" applyFill="1"/>
    <xf numFmtId="0" fontId="14" fillId="6" borderId="0" xfId="0" applyFont="1" applyFill="1" applyAlignment="1">
      <alignment horizontal="right"/>
    </xf>
    <xf numFmtId="0" fontId="15" fillId="6" borderId="0" xfId="0" applyFont="1" applyFill="1"/>
    <xf numFmtId="0" fontId="9" fillId="6" borderId="0" xfId="0" applyFont="1" applyFill="1"/>
    <xf numFmtId="0" fontId="14" fillId="6" borderId="0" xfId="0" applyFont="1" applyFill="1"/>
    <xf numFmtId="4" fontId="9" fillId="6" borderId="0" xfId="0" applyNumberFormat="1" applyFont="1" applyFill="1"/>
    <xf numFmtId="164" fontId="9" fillId="6" borderId="0" xfId="0" applyNumberFormat="1" applyFont="1" applyFill="1"/>
    <xf numFmtId="9" fontId="14" fillId="6" borderId="0" xfId="0" applyNumberFormat="1" applyFont="1" applyFill="1"/>
    <xf numFmtId="3" fontId="14" fillId="6" borderId="0" xfId="0" applyNumberFormat="1" applyFont="1" applyFill="1"/>
    <xf numFmtId="3" fontId="16" fillId="6" borderId="0" xfId="0" applyNumberFormat="1" applyFont="1" applyFill="1"/>
    <xf numFmtId="0" fontId="16" fillId="6" borderId="0" xfId="0" applyFont="1" applyFill="1"/>
    <xf numFmtId="166" fontId="9" fillId="6" borderId="0" xfId="0" applyNumberFormat="1" applyFont="1" applyFill="1"/>
    <xf numFmtId="0" fontId="17" fillId="6" borderId="0" xfId="0" applyFont="1" applyFill="1"/>
    <xf numFmtId="0" fontId="15" fillId="6" borderId="0" xfId="0" applyFont="1" applyFill="1" applyAlignment="1">
      <alignment horizontal="right"/>
    </xf>
    <xf numFmtId="9" fontId="9" fillId="6" borderId="0" xfId="0" applyNumberFormat="1" applyFont="1" applyFill="1"/>
    <xf numFmtId="0" fontId="5" fillId="5" borderId="0" xfId="1" applyFont="1" applyFill="1" applyBorder="1"/>
    <xf numFmtId="14" fontId="7" fillId="4" borderId="0" xfId="0" applyNumberFormat="1" applyFont="1" applyFill="1"/>
    <xf numFmtId="16" fontId="7" fillId="4" borderId="0" xfId="0" applyNumberFormat="1" applyFont="1" applyFill="1"/>
    <xf numFmtId="3" fontId="1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1" fillId="5" borderId="5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5" fillId="5" borderId="7" xfId="1" applyFont="1" applyFill="1" applyBorder="1" applyAlignment="1">
      <alignment horizontal="center"/>
    </xf>
    <xf numFmtId="0" fontId="5" fillId="5" borderId="8" xfId="1" applyFont="1" applyFill="1" applyBorder="1" applyAlignment="1">
      <alignment horizontal="center"/>
    </xf>
    <xf numFmtId="3" fontId="15" fillId="0" borderId="0" xfId="0" applyNumberFormat="1" applyFont="1" applyAlignment="1">
      <alignment horizontal="right"/>
    </xf>
    <xf numFmtId="164" fontId="10" fillId="0" borderId="0" xfId="0" applyNumberFormat="1" applyFont="1"/>
    <xf numFmtId="164" fontId="10" fillId="4" borderId="0" xfId="0" applyNumberFormat="1" applyFont="1" applyFill="1"/>
    <xf numFmtId="164" fontId="17" fillId="6" borderId="0" xfId="0" applyNumberFormat="1" applyFont="1" applyFill="1"/>
    <xf numFmtId="3" fontId="14" fillId="0" borderId="0" xfId="0" applyNumberFormat="1" applyFont="1" applyAlignment="1">
      <alignment horizontal="right"/>
    </xf>
    <xf numFmtId="3" fontId="15" fillId="0" borderId="0" xfId="0" applyNumberFormat="1" applyFont="1"/>
    <xf numFmtId="3" fontId="14" fillId="0" borderId="0" xfId="0" applyNumberFormat="1" applyFont="1"/>
    <xf numFmtId="4" fontId="9" fillId="0" borderId="0" xfId="0" applyNumberFormat="1" applyFont="1"/>
    <xf numFmtId="164" fontId="9" fillId="0" borderId="0" xfId="0" applyNumberFormat="1" applyFont="1"/>
    <xf numFmtId="9" fontId="14" fillId="0" borderId="0" xfId="0" applyNumberFormat="1" applyFont="1"/>
    <xf numFmtId="0" fontId="14" fillId="0" borderId="0" xfId="0" applyFont="1"/>
    <xf numFmtId="9" fontId="9" fillId="0" borderId="0" xfId="0" applyNumberFormat="1" applyFont="1"/>
    <xf numFmtId="0" fontId="9" fillId="0" borderId="0" xfId="0" applyFont="1"/>
    <xf numFmtId="3" fontId="16" fillId="0" borderId="0" xfId="0" applyNumberFormat="1" applyFont="1"/>
    <xf numFmtId="164" fontId="17" fillId="0" borderId="0" xfId="0" applyNumberFormat="1" applyFont="1"/>
    <xf numFmtId="0" fontId="16" fillId="0" borderId="0" xfId="0" applyFont="1"/>
    <xf numFmtId="166" fontId="9" fillId="0" borderId="0" xfId="0" applyNumberFormat="1" applyFont="1"/>
    <xf numFmtId="0" fontId="17" fillId="0" borderId="0" xfId="0" applyFont="1"/>
    <xf numFmtId="0" fontId="1" fillId="3" borderId="1" xfId="0" applyFont="1" applyFill="1" applyBorder="1"/>
    <xf numFmtId="0" fontId="1" fillId="3" borderId="4" xfId="0" applyFont="1" applyFill="1" applyBorder="1"/>
    <xf numFmtId="3" fontId="1" fillId="3" borderId="6" xfId="0" applyNumberFormat="1" applyFont="1" applyFill="1" applyBorder="1"/>
    <xf numFmtId="9" fontId="1" fillId="5" borderId="3" xfId="0" applyNumberFormat="1" applyFont="1" applyFill="1" applyBorder="1"/>
    <xf numFmtId="9" fontId="1" fillId="5" borderId="5" xfId="0" applyNumberFormat="1" applyFont="1" applyFill="1" applyBorder="1"/>
    <xf numFmtId="169" fontId="1" fillId="5" borderId="5" xfId="0" applyNumberFormat="1" applyFont="1" applyFill="1" applyBorder="1"/>
    <xf numFmtId="2" fontId="2" fillId="5" borderId="5" xfId="0" applyNumberFormat="1" applyFont="1" applyFill="1" applyBorder="1"/>
    <xf numFmtId="2" fontId="1" fillId="5" borderId="5" xfId="0" applyNumberFormat="1" applyFont="1" applyFill="1" applyBorder="1"/>
    <xf numFmtId="9" fontId="1" fillId="5" borderId="8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0</xdr:row>
      <xdr:rowOff>95251</xdr:rowOff>
    </xdr:from>
    <xdr:to>
      <xdr:col>5</xdr:col>
      <xdr:colOff>228600</xdr:colOff>
      <xdr:row>3</xdr:row>
      <xdr:rowOff>54787</xdr:rowOff>
    </xdr:to>
    <xdr:pic>
      <xdr:nvPicPr>
        <xdr:cNvPr id="2" name="Picture 1" descr="B&amp;M European Value Retail S.A. (BME) Dividends">
          <a:extLst>
            <a:ext uri="{FF2B5EF4-FFF2-40B4-BE49-F238E27FC236}">
              <a16:creationId xmlns:a16="http://schemas.microsoft.com/office/drawing/2014/main" id="{6AF7B391-A03A-4F0B-8B80-5F8E9DB17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80" b="10380"/>
        <a:stretch/>
      </xdr:blipFill>
      <xdr:spPr bwMode="auto">
        <a:xfrm>
          <a:off x="2714625" y="95251"/>
          <a:ext cx="561975" cy="445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9525</xdr:rowOff>
    </xdr:from>
    <xdr:to>
      <xdr:col>22</xdr:col>
      <xdr:colOff>9525</xdr:colOff>
      <xdr:row>121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1260B9-E3BF-4E6C-9810-25A66F7D23DE}"/>
            </a:ext>
          </a:extLst>
        </xdr:cNvPr>
        <xdr:cNvCxnSpPr/>
      </xdr:nvCxnSpPr>
      <xdr:spPr>
        <a:xfrm>
          <a:off x="14373225" y="9525"/>
          <a:ext cx="0" cy="19650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121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FCFFDBB-DE79-4669-B109-8F34D5A3C9DB}"/>
            </a:ext>
          </a:extLst>
        </xdr:cNvPr>
        <xdr:cNvCxnSpPr/>
      </xdr:nvCxnSpPr>
      <xdr:spPr>
        <a:xfrm>
          <a:off x="8277225" y="0"/>
          <a:ext cx="0" cy="18678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usiness-live.co.uk/retail-consumer/bm-sells-entire-german-business-17901983" TargetMode="External"/><Relationship Id="rId1" Type="http://schemas.openxmlformats.org/officeDocument/2006/relationships/hyperlink" Target="https://www.bandmretail.com/investors/presentations/year/202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bandmretail.com/sites/bmstores/files/reports_2019/announcement-of-2018-19-full-year-results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bandmretail.com/sites/bmstores/files/reports/2021/fy21-prelims-announcement.pdf" TargetMode="External"/><Relationship Id="rId1" Type="http://schemas.openxmlformats.org/officeDocument/2006/relationships/hyperlink" Target="https://staticcontents.investis.com/html/b/bandmretail/annual-report-and-accounts-2023/index.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andmretail.com/sites/bmstores/files/prelim-announce-2017-v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2411-448F-49B1-B6D6-24D041947C33}">
  <dimension ref="B2:X41"/>
  <sheetViews>
    <sheetView workbookViewId="0">
      <selection activeCell="C29" sqref="C29:D29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</row>
    <row r="3" spans="2:24" x14ac:dyDescent="0.2">
      <c r="B3" s="2" t="s">
        <v>144</v>
      </c>
    </row>
    <row r="4" spans="2:24" x14ac:dyDescent="0.2">
      <c r="T4" s="85" t="s">
        <v>125</v>
      </c>
      <c r="U4" s="86"/>
      <c r="W4" s="85" t="s">
        <v>115</v>
      </c>
      <c r="X4" s="86"/>
    </row>
    <row r="5" spans="2:24" x14ac:dyDescent="0.2">
      <c r="B5" s="85" t="s">
        <v>1</v>
      </c>
      <c r="C5" s="93"/>
      <c r="D5" s="86"/>
      <c r="F5" s="85" t="s">
        <v>127</v>
      </c>
      <c r="G5" s="93"/>
      <c r="H5" s="93"/>
      <c r="I5" s="93"/>
      <c r="J5" s="93"/>
      <c r="K5" s="93"/>
      <c r="L5" s="93"/>
      <c r="M5" s="93"/>
      <c r="N5" s="93"/>
      <c r="O5" s="93"/>
      <c r="P5" s="93"/>
      <c r="Q5" s="86"/>
      <c r="T5" s="41" t="s">
        <v>25</v>
      </c>
      <c r="U5" s="6"/>
      <c r="W5" s="41" t="s">
        <v>108</v>
      </c>
      <c r="X5" s="6"/>
    </row>
    <row r="6" spans="2:24" x14ac:dyDescent="0.2">
      <c r="B6" s="3" t="s">
        <v>2</v>
      </c>
      <c r="C6" s="1">
        <v>5.7348999999999997</v>
      </c>
      <c r="D6" s="16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T6" s="41" t="s">
        <v>26</v>
      </c>
      <c r="U6" s="6"/>
      <c r="W6" s="41" t="s">
        <v>109</v>
      </c>
      <c r="X6" s="6"/>
    </row>
    <row r="7" spans="2:24" x14ac:dyDescent="0.2">
      <c r="B7" s="3" t="s">
        <v>3</v>
      </c>
      <c r="C7" s="23">
        <f>'Financial Model'!V22</f>
        <v>1001.593</v>
      </c>
      <c r="D7" s="16" t="str">
        <f>$C$31</f>
        <v>FY23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T7" s="41"/>
      <c r="U7" s="6"/>
      <c r="W7" s="41" t="s">
        <v>110</v>
      </c>
      <c r="X7" s="6"/>
    </row>
    <row r="8" spans="2:24" x14ac:dyDescent="0.2">
      <c r="B8" s="3" t="s">
        <v>4</v>
      </c>
      <c r="C8" s="14">
        <f>C6*C7</f>
        <v>5744.0356956999995</v>
      </c>
      <c r="D8" s="16"/>
      <c r="F8" s="12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T8" s="43" t="s">
        <v>27</v>
      </c>
      <c r="U8" s="8"/>
      <c r="W8" s="41" t="s">
        <v>111</v>
      </c>
      <c r="X8" s="6"/>
    </row>
    <row r="9" spans="2:24" x14ac:dyDescent="0.2">
      <c r="B9" s="3" t="s">
        <v>5</v>
      </c>
      <c r="C9" s="14">
        <f>+'Financial Model'!V92</f>
        <v>238</v>
      </c>
      <c r="D9" s="16" t="str">
        <f t="shared" ref="D9:D11" si="0">$C$31</f>
        <v>FY23</v>
      </c>
      <c r="F9" s="12"/>
      <c r="G9" s="5"/>
      <c r="H9" s="5"/>
      <c r="I9" s="5" t="s">
        <v>36</v>
      </c>
      <c r="J9" s="5"/>
      <c r="K9" s="5"/>
      <c r="L9" s="5"/>
      <c r="M9" s="5"/>
      <c r="N9" s="5"/>
      <c r="O9" s="5"/>
      <c r="P9" s="5"/>
      <c r="Q9" s="6"/>
      <c r="W9" s="41" t="s">
        <v>113</v>
      </c>
      <c r="X9" s="6"/>
    </row>
    <row r="10" spans="2:24" x14ac:dyDescent="0.2">
      <c r="B10" s="3" t="s">
        <v>6</v>
      </c>
      <c r="C10" s="14">
        <f>+'Financial Model'!V93</f>
        <v>954</v>
      </c>
      <c r="D10" s="16" t="str">
        <f t="shared" si="0"/>
        <v>FY23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W10" s="41" t="s">
        <v>112</v>
      </c>
      <c r="X10" s="6"/>
    </row>
    <row r="11" spans="2:24" x14ac:dyDescent="0.2">
      <c r="B11" s="3" t="s">
        <v>7</v>
      </c>
      <c r="C11" s="14">
        <f>C9-C10</f>
        <v>-716</v>
      </c>
      <c r="D11" s="16" t="str">
        <f t="shared" si="0"/>
        <v>FY23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W11" s="42" t="s">
        <v>114</v>
      </c>
      <c r="X11" s="8"/>
    </row>
    <row r="12" spans="2:24" x14ac:dyDescent="0.2">
      <c r="B12" s="4" t="s">
        <v>8</v>
      </c>
      <c r="C12" s="15">
        <f>C8-C11</f>
        <v>6460.0356956999995</v>
      </c>
      <c r="D12" s="17"/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24" x14ac:dyDescent="0.2"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24" x14ac:dyDescent="0.2">
      <c r="F14" s="12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24" x14ac:dyDescent="0.2">
      <c r="B15" s="85" t="s">
        <v>9</v>
      </c>
      <c r="C15" s="93"/>
      <c r="D15" s="86"/>
      <c r="F15" s="12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24" x14ac:dyDescent="0.2">
      <c r="B16" s="9" t="s">
        <v>10</v>
      </c>
      <c r="C16" s="89" t="s">
        <v>21</v>
      </c>
      <c r="D16" s="90"/>
      <c r="F16" s="12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2:17" x14ac:dyDescent="0.2">
      <c r="B17" s="9" t="s">
        <v>11</v>
      </c>
      <c r="C17" s="89" t="s">
        <v>22</v>
      </c>
      <c r="D17" s="90"/>
      <c r="F17" s="12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2:17" x14ac:dyDescent="0.2">
      <c r="B18" s="9" t="s">
        <v>12</v>
      </c>
      <c r="C18" s="89"/>
      <c r="D18" s="90"/>
      <c r="F18" s="44">
        <v>43891</v>
      </c>
      <c r="G18" s="76" t="s">
        <v>131</v>
      </c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2:17" x14ac:dyDescent="0.2">
      <c r="B19" s="10" t="s">
        <v>23</v>
      </c>
      <c r="C19" s="91" t="s">
        <v>24</v>
      </c>
      <c r="D19" s="92"/>
      <c r="F19" s="12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2:17" x14ac:dyDescent="0.2">
      <c r="F20" s="12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2:17" x14ac:dyDescent="0.2">
      <c r="F21" s="12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2:17" x14ac:dyDescent="0.2">
      <c r="B22" s="85" t="s">
        <v>13</v>
      </c>
      <c r="C22" s="93"/>
      <c r="D22" s="86"/>
      <c r="F22" s="12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2:17" x14ac:dyDescent="0.2">
      <c r="B23" s="12" t="s">
        <v>14</v>
      </c>
      <c r="C23" s="89" t="s">
        <v>28</v>
      </c>
      <c r="D23" s="90"/>
      <c r="F23" s="44">
        <v>42948</v>
      </c>
      <c r="G23" s="5" t="s">
        <v>128</v>
      </c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2:17" x14ac:dyDescent="0.2">
      <c r="B24" s="12" t="s">
        <v>15</v>
      </c>
      <c r="C24" s="89">
        <v>1978</v>
      </c>
      <c r="D24" s="90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2:17" x14ac:dyDescent="0.2">
      <c r="B25" s="12" t="s">
        <v>16</v>
      </c>
      <c r="C25" s="89">
        <v>2014</v>
      </c>
      <c r="D25" s="90"/>
      <c r="F25" s="12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2:17" x14ac:dyDescent="0.2">
      <c r="B26" s="12"/>
      <c r="C26" s="89"/>
      <c r="D26" s="90"/>
      <c r="F26" s="12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2:17" x14ac:dyDescent="0.2">
      <c r="B27" s="12" t="s">
        <v>17</v>
      </c>
      <c r="C27" s="94">
        <f>+'Financial Model'!V34</f>
        <v>1140</v>
      </c>
      <c r="D27" s="90"/>
      <c r="F27" s="12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2:17" x14ac:dyDescent="0.2">
      <c r="B28" s="12" t="s">
        <v>18</v>
      </c>
      <c r="C28" s="94">
        <f>+'Financial Model'!V67</f>
        <v>764</v>
      </c>
      <c r="D28" s="90"/>
      <c r="F28" s="12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2:17" x14ac:dyDescent="0.2">
      <c r="B29" s="12" t="s">
        <v>40</v>
      </c>
      <c r="C29" s="94">
        <f>'Financial Model'!V46</f>
        <v>39484</v>
      </c>
      <c r="D29" s="90"/>
      <c r="F29" s="12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2:17" x14ac:dyDescent="0.2">
      <c r="B30" s="12"/>
      <c r="C30" s="84"/>
      <c r="D30" s="83"/>
      <c r="F30" s="12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2:17" x14ac:dyDescent="0.2">
      <c r="B31" s="12" t="s">
        <v>19</v>
      </c>
      <c r="C31" s="11" t="s">
        <v>44</v>
      </c>
      <c r="D31" s="31">
        <v>45096</v>
      </c>
      <c r="F31" s="12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2:17" x14ac:dyDescent="0.2">
      <c r="B32" s="13" t="s">
        <v>20</v>
      </c>
      <c r="C32" s="95" t="s">
        <v>37</v>
      </c>
      <c r="D32" s="96"/>
      <c r="F32" s="12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2:17" x14ac:dyDescent="0.2">
      <c r="F33" s="12"/>
      <c r="G33" s="5"/>
      <c r="H33" s="5"/>
      <c r="I33" s="5"/>
      <c r="J33" s="5"/>
      <c r="K33" s="5"/>
      <c r="L33" s="5"/>
      <c r="M33" s="5"/>
      <c r="N33" s="5"/>
      <c r="O33" s="5"/>
      <c r="P33" s="5"/>
      <c r="Q33" s="6"/>
    </row>
    <row r="34" spans="2:17" x14ac:dyDescent="0.2">
      <c r="F34" s="12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</row>
    <row r="35" spans="2:17" x14ac:dyDescent="0.2">
      <c r="B35" s="85" t="s">
        <v>29</v>
      </c>
      <c r="C35" s="93"/>
      <c r="D35" s="86"/>
      <c r="F35" s="12"/>
      <c r="G35" s="5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2:17" x14ac:dyDescent="0.2">
      <c r="B36" s="12" t="s">
        <v>30</v>
      </c>
      <c r="C36" s="87">
        <f>C6/'Financial Model'!V90</f>
        <v>7.9778273551388885</v>
      </c>
      <c r="D36" s="88"/>
      <c r="F36" s="12"/>
      <c r="G36" s="5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2:17" x14ac:dyDescent="0.2">
      <c r="B37" s="12" t="s">
        <v>31</v>
      </c>
      <c r="C37" s="87">
        <f>C8/'Financial Model'!V4</f>
        <v>1.152726408930363</v>
      </c>
      <c r="D37" s="88"/>
      <c r="F37" s="12"/>
      <c r="G37" s="5"/>
      <c r="H37" s="5"/>
      <c r="I37" s="5"/>
      <c r="J37" s="5"/>
      <c r="K37" s="5"/>
      <c r="L37" s="5"/>
      <c r="M37" s="5"/>
      <c r="N37" s="5"/>
      <c r="O37" s="5"/>
      <c r="P37" s="5"/>
      <c r="Q37" s="6"/>
    </row>
    <row r="38" spans="2:17" x14ac:dyDescent="0.2">
      <c r="B38" s="12" t="s">
        <v>32</v>
      </c>
      <c r="C38" s="87">
        <f>C12/'Financial Model'!V4</f>
        <v>1.2964149499698976</v>
      </c>
      <c r="D38" s="88"/>
      <c r="F38" s="12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</row>
    <row r="39" spans="2:17" x14ac:dyDescent="0.2">
      <c r="B39" s="12" t="s">
        <v>33</v>
      </c>
      <c r="C39" s="87">
        <f>C6/'Financial Model'!V21</f>
        <v>14.880921491450774</v>
      </c>
      <c r="D39" s="88"/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</row>
    <row r="40" spans="2:17" x14ac:dyDescent="0.2">
      <c r="B40" s="12" t="s">
        <v>34</v>
      </c>
      <c r="C40" s="87">
        <f>C12/'Financial Model'!V16</f>
        <v>18.563320964655169</v>
      </c>
      <c r="D40" s="88"/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6"/>
    </row>
    <row r="41" spans="2:17" x14ac:dyDescent="0.2">
      <c r="B41" s="13" t="s">
        <v>35</v>
      </c>
      <c r="C41" s="91"/>
      <c r="D41" s="92"/>
      <c r="F41" s="13"/>
      <c r="G41" s="7"/>
      <c r="H41" s="7"/>
      <c r="I41" s="7"/>
      <c r="J41" s="7"/>
      <c r="K41" s="7"/>
      <c r="L41" s="7"/>
      <c r="M41" s="7"/>
      <c r="N41" s="7"/>
      <c r="O41" s="7"/>
      <c r="P41" s="7"/>
      <c r="Q41" s="8"/>
    </row>
  </sheetData>
  <mergeCells count="25">
    <mergeCell ref="C40:D40"/>
    <mergeCell ref="C41:D41"/>
    <mergeCell ref="F5:Q5"/>
    <mergeCell ref="C28:D28"/>
    <mergeCell ref="C29:D29"/>
    <mergeCell ref="C32:D32"/>
    <mergeCell ref="B35:D35"/>
    <mergeCell ref="C36:D36"/>
    <mergeCell ref="B22:D22"/>
    <mergeCell ref="C23:D23"/>
    <mergeCell ref="C24:D24"/>
    <mergeCell ref="C25:D25"/>
    <mergeCell ref="C26:D26"/>
    <mergeCell ref="C27:D27"/>
    <mergeCell ref="B5:D5"/>
    <mergeCell ref="B15:D15"/>
    <mergeCell ref="W4:X4"/>
    <mergeCell ref="T4:U4"/>
    <mergeCell ref="C37:D37"/>
    <mergeCell ref="C38:D38"/>
    <mergeCell ref="C39:D39"/>
    <mergeCell ref="C16:D16"/>
    <mergeCell ref="C17:D17"/>
    <mergeCell ref="C18:D18"/>
    <mergeCell ref="C19:D19"/>
  </mergeCells>
  <hyperlinks>
    <hyperlink ref="C32:D32" r:id="rId1" display="Link" xr:uid="{9BE3B3D4-9498-4B97-998C-C0C12FA77148}"/>
    <hyperlink ref="G18" r:id="rId2" xr:uid="{87BBEC1A-B702-4F90-99BE-E634A1207125}"/>
  </hyperlinks>
  <pageMargins left="0.7" right="0.7" top="0.75" bottom="0.75" header="0.3" footer="0.3"/>
  <pageSetup paperSize="125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EA70-0C15-460C-B41E-267C906FFAC5}">
  <dimension ref="B1:DR111"/>
  <sheetViews>
    <sheetView tabSelected="1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V21" sqref="V21"/>
    </sheetView>
  </sheetViews>
  <sheetFormatPr defaultRowHeight="12.75" x14ac:dyDescent="0.2"/>
  <cols>
    <col min="1" max="1" width="4.28515625" style="1" customWidth="1"/>
    <col min="2" max="2" width="28.28515625" style="1" bestFit="1" customWidth="1"/>
    <col min="3" max="3" width="9.140625" style="1"/>
    <col min="4" max="4" width="9.140625" style="52"/>
    <col min="5" max="5" width="9.140625" style="1"/>
    <col min="6" max="6" width="9.140625" style="52"/>
    <col min="7" max="7" width="9.140625" style="1"/>
    <col min="8" max="8" width="9.140625" style="52"/>
    <col min="9" max="9" width="9.140625" style="1"/>
    <col min="10" max="10" width="9.140625" style="52"/>
    <col min="11" max="11" width="9.140625" style="1"/>
    <col min="12" max="12" width="9.140625" style="52"/>
    <col min="13" max="22" width="9.140625" style="1"/>
    <col min="23" max="23" width="9.140625" style="64"/>
    <col min="24" max="31" width="9.140625" style="109"/>
    <col min="32" max="32" width="9.140625" style="1"/>
    <col min="33" max="33" width="12.85546875" style="1" customWidth="1"/>
    <col min="34" max="34" width="10.140625" style="1" bestFit="1" customWidth="1"/>
    <col min="35" max="16384" width="9.140625" style="1"/>
  </cols>
  <sheetData>
    <row r="1" spans="2:122" s="20" customFormat="1" x14ac:dyDescent="0.2">
      <c r="C1" s="20" t="s">
        <v>138</v>
      </c>
      <c r="D1" s="49" t="s">
        <v>139</v>
      </c>
      <c r="E1" s="20" t="s">
        <v>137</v>
      </c>
      <c r="F1" s="49" t="s">
        <v>140</v>
      </c>
      <c r="G1" s="20" t="s">
        <v>136</v>
      </c>
      <c r="H1" s="49" t="s">
        <v>141</v>
      </c>
      <c r="I1" s="20" t="s">
        <v>135</v>
      </c>
      <c r="J1" s="49" t="s">
        <v>142</v>
      </c>
      <c r="K1" s="20" t="s">
        <v>134</v>
      </c>
      <c r="L1" s="49" t="s">
        <v>143</v>
      </c>
      <c r="O1" s="20" t="s">
        <v>72</v>
      </c>
      <c r="P1" s="21" t="s">
        <v>71</v>
      </c>
      <c r="Q1" s="20" t="s">
        <v>70</v>
      </c>
      <c r="R1" s="21" t="s">
        <v>69</v>
      </c>
      <c r="S1" s="20" t="s">
        <v>68</v>
      </c>
      <c r="T1" s="21" t="s">
        <v>67</v>
      </c>
      <c r="U1" s="20" t="s">
        <v>66</v>
      </c>
      <c r="V1" s="21" t="s">
        <v>44</v>
      </c>
      <c r="W1" s="62" t="s">
        <v>116</v>
      </c>
      <c r="X1" s="101" t="s">
        <v>117</v>
      </c>
      <c r="Y1" s="101" t="s">
        <v>118</v>
      </c>
      <c r="Z1" s="101" t="s">
        <v>119</v>
      </c>
      <c r="AA1" s="101" t="s">
        <v>120</v>
      </c>
      <c r="AB1" s="101" t="s">
        <v>121</v>
      </c>
      <c r="AC1" s="101" t="s">
        <v>122</v>
      </c>
      <c r="AD1" s="101" t="s">
        <v>123</v>
      </c>
      <c r="AE1" s="101" t="s">
        <v>124</v>
      </c>
    </row>
    <row r="2" spans="2:122" s="25" customFormat="1" x14ac:dyDescent="0.2">
      <c r="B2" s="24"/>
      <c r="D2" s="77">
        <f>R2</f>
        <v>43554</v>
      </c>
      <c r="F2" s="77">
        <f>S2</f>
        <v>43918</v>
      </c>
      <c r="H2" s="77">
        <f>T2</f>
        <v>44282</v>
      </c>
      <c r="J2" s="77">
        <f>U2</f>
        <v>44646</v>
      </c>
      <c r="L2" s="77">
        <f>V2</f>
        <v>45010</v>
      </c>
      <c r="O2" s="26">
        <v>42455</v>
      </c>
      <c r="P2" s="26">
        <v>42819</v>
      </c>
      <c r="Q2" s="26">
        <v>43190</v>
      </c>
      <c r="R2" s="26">
        <v>43554</v>
      </c>
      <c r="S2" s="26">
        <v>43918</v>
      </c>
      <c r="T2" s="26">
        <v>44282</v>
      </c>
      <c r="U2" s="26">
        <v>44646</v>
      </c>
      <c r="V2" s="26">
        <v>45010</v>
      </c>
      <c r="W2" s="74" t="s">
        <v>130</v>
      </c>
      <c r="X2" s="97" t="str">
        <f>W2</f>
        <v>(EST.)</v>
      </c>
      <c r="Y2" s="97" t="str">
        <f t="shared" ref="Y2:AE2" si="0">X2</f>
        <v>(EST.)</v>
      </c>
      <c r="Z2" s="97" t="str">
        <f t="shared" si="0"/>
        <v>(EST.)</v>
      </c>
      <c r="AA2" s="97" t="str">
        <f t="shared" si="0"/>
        <v>(EST.)</v>
      </c>
      <c r="AB2" s="97" t="str">
        <f t="shared" si="0"/>
        <v>(EST.)</v>
      </c>
      <c r="AC2" s="97" t="str">
        <f t="shared" si="0"/>
        <v>(EST.)</v>
      </c>
      <c r="AD2" s="97" t="str">
        <f t="shared" si="0"/>
        <v>(EST.)</v>
      </c>
      <c r="AE2" s="97" t="str">
        <f t="shared" si="0"/>
        <v>(EST.)</v>
      </c>
    </row>
    <row r="3" spans="2:122" s="25" customFormat="1" x14ac:dyDescent="0.2">
      <c r="B3" s="24"/>
      <c r="D3" s="78">
        <f>R3</f>
        <v>45069</v>
      </c>
      <c r="F3" s="50">
        <f>S3</f>
        <v>0</v>
      </c>
      <c r="H3" s="78">
        <f>T3</f>
        <v>45080</v>
      </c>
      <c r="J3" s="78">
        <f>U3</f>
        <v>45077</v>
      </c>
      <c r="L3" s="78">
        <f>V3</f>
        <v>45096</v>
      </c>
      <c r="P3" s="32">
        <v>45071</v>
      </c>
      <c r="R3" s="32">
        <v>45069</v>
      </c>
      <c r="T3" s="32">
        <v>45080</v>
      </c>
      <c r="U3" s="32">
        <v>45077</v>
      </c>
      <c r="V3" s="32">
        <v>45096</v>
      </c>
      <c r="W3" s="63"/>
      <c r="X3" s="102"/>
      <c r="Y3" s="102"/>
      <c r="Z3" s="102"/>
      <c r="AA3" s="102"/>
      <c r="AB3" s="102"/>
      <c r="AC3" s="102"/>
      <c r="AD3" s="102"/>
      <c r="AE3" s="102"/>
    </row>
    <row r="4" spans="2:122" s="2" customFormat="1" x14ac:dyDescent="0.2">
      <c r="B4" s="2" t="s">
        <v>41</v>
      </c>
      <c r="C4" s="19"/>
      <c r="D4" s="51"/>
      <c r="F4" s="51"/>
      <c r="H4" s="51"/>
      <c r="J4" s="51"/>
      <c r="L4" s="51"/>
      <c r="O4" s="22">
        <v>2035.2850000000001</v>
      </c>
      <c r="P4" s="22">
        <v>2430.66</v>
      </c>
      <c r="Q4" s="22">
        <v>3029.8020000000001</v>
      </c>
      <c r="R4" s="22">
        <v>3486.2950000000001</v>
      </c>
      <c r="S4" s="22">
        <v>3813.3870000000002</v>
      </c>
      <c r="T4" s="22">
        <v>4801.4250000000002</v>
      </c>
      <c r="U4" s="22">
        <v>4673</v>
      </c>
      <c r="V4" s="22">
        <v>4983</v>
      </c>
      <c r="W4" s="69">
        <f>V4*(1+W24)</f>
        <v>5381.64</v>
      </c>
      <c r="X4" s="103">
        <f>W4*(1+X24)</f>
        <v>5919.804000000001</v>
      </c>
      <c r="Y4" s="103">
        <f t="shared" ref="Y4:AE4" si="1">X4*(1+Y24)</f>
        <v>6689.3785200000002</v>
      </c>
      <c r="Z4" s="103">
        <f t="shared" si="1"/>
        <v>7224.5288016000004</v>
      </c>
      <c r="AA4" s="103">
        <f t="shared" si="1"/>
        <v>7730.2458177120006</v>
      </c>
      <c r="AB4" s="103">
        <f t="shared" si="1"/>
        <v>8116.7581085976008</v>
      </c>
      <c r="AC4" s="103">
        <f t="shared" si="1"/>
        <v>8522.5960140274819</v>
      </c>
      <c r="AD4" s="103">
        <f t="shared" si="1"/>
        <v>8948.7258147288558</v>
      </c>
      <c r="AE4" s="103">
        <f t="shared" si="1"/>
        <v>9396.1621054652987</v>
      </c>
    </row>
    <row r="5" spans="2:122" x14ac:dyDescent="0.2">
      <c r="B5" s="1" t="s">
        <v>42</v>
      </c>
      <c r="O5" s="23">
        <v>1332.2629999999999</v>
      </c>
      <c r="P5" s="23">
        <v>1586.3240000000001</v>
      </c>
      <c r="Q5" s="23">
        <v>2000.9269999999999</v>
      </c>
      <c r="R5" s="23">
        <v>2296.681</v>
      </c>
      <c r="S5" s="23">
        <v>2530.5790000000002</v>
      </c>
      <c r="T5" s="23">
        <v>3031.4549999999999</v>
      </c>
      <c r="U5" s="23">
        <v>2921</v>
      </c>
      <c r="V5" s="23">
        <v>3182</v>
      </c>
      <c r="W5" s="39">
        <f>W4*(1-W27)</f>
        <v>3390.4332000000004</v>
      </c>
      <c r="X5" s="35">
        <f>X4/(1+X27)</f>
        <v>4289.7130434782621</v>
      </c>
      <c r="Y5" s="35">
        <f t="shared" ref="Y5:AE5" si="2">Y4/(1+Y27)</f>
        <v>4847.3757391304352</v>
      </c>
      <c r="Z5" s="35">
        <f t="shared" si="2"/>
        <v>5235.1657982608704</v>
      </c>
      <c r="AA5" s="35">
        <f t="shared" si="2"/>
        <v>5601.6274041391316</v>
      </c>
      <c r="AB5" s="35">
        <f t="shared" si="2"/>
        <v>5881.7087743460879</v>
      </c>
      <c r="AC5" s="35">
        <f t="shared" si="2"/>
        <v>6175.7942130633928</v>
      </c>
      <c r="AD5" s="35">
        <f t="shared" si="2"/>
        <v>6484.5839237165628</v>
      </c>
      <c r="AE5" s="35">
        <f t="shared" si="2"/>
        <v>6808.813119902391</v>
      </c>
    </row>
    <row r="6" spans="2:122" s="2" customFormat="1" x14ac:dyDescent="0.2">
      <c r="B6" s="2" t="s">
        <v>43</v>
      </c>
      <c r="D6" s="51"/>
      <c r="F6" s="51"/>
      <c r="H6" s="51"/>
      <c r="J6" s="51"/>
      <c r="L6" s="51"/>
      <c r="O6" s="22">
        <f t="shared" ref="O6" si="3">O4-O5</f>
        <v>703.02200000000016</v>
      </c>
      <c r="P6" s="22">
        <f t="shared" ref="P6" si="4">P4-P5</f>
        <v>844.33599999999979</v>
      </c>
      <c r="Q6" s="22">
        <f t="shared" ref="Q6" si="5">Q4-Q5</f>
        <v>1028.8750000000002</v>
      </c>
      <c r="R6" s="22">
        <f t="shared" ref="R6" si="6">R4-R5</f>
        <v>1189.614</v>
      </c>
      <c r="S6" s="22">
        <f t="shared" ref="S6" si="7">S4-S5</f>
        <v>1282.808</v>
      </c>
      <c r="T6" s="22">
        <f t="shared" ref="T6" si="8">T4-T5</f>
        <v>1769.9700000000003</v>
      </c>
      <c r="U6" s="22">
        <f>U4-U5</f>
        <v>1752</v>
      </c>
      <c r="V6" s="22">
        <f>V4-V5</f>
        <v>1801</v>
      </c>
      <c r="W6" s="69">
        <f>W4-W5</f>
        <v>1991.2067999999999</v>
      </c>
      <c r="X6" s="103">
        <f>X4-X5</f>
        <v>1630.0909565217389</v>
      </c>
      <c r="Y6" s="103">
        <f t="shared" ref="Y6:AE6" si="9">Y4-Y5</f>
        <v>1842.002780869565</v>
      </c>
      <c r="Z6" s="103">
        <f t="shared" si="9"/>
        <v>1989.36300333913</v>
      </c>
      <c r="AA6" s="103">
        <f t="shared" si="9"/>
        <v>2128.618413572869</v>
      </c>
      <c r="AB6" s="103">
        <f t="shared" si="9"/>
        <v>2235.0493342515128</v>
      </c>
      <c r="AC6" s="103">
        <f t="shared" si="9"/>
        <v>2346.8018009640891</v>
      </c>
      <c r="AD6" s="103">
        <f t="shared" si="9"/>
        <v>2464.1418910122929</v>
      </c>
      <c r="AE6" s="103">
        <f t="shared" si="9"/>
        <v>2587.3489855629077</v>
      </c>
    </row>
    <row r="7" spans="2:122" x14ac:dyDescent="0.2">
      <c r="B7" s="1" t="s">
        <v>45</v>
      </c>
      <c r="O7" s="23">
        <v>528.53</v>
      </c>
      <c r="P7" s="23">
        <v>639.83299999999997</v>
      </c>
      <c r="Q7" s="23">
        <v>789.072</v>
      </c>
      <c r="R7" s="23">
        <v>925.05799999999999</v>
      </c>
      <c r="S7" s="23">
        <f>966.928-16.932</f>
        <v>949.99599999999998</v>
      </c>
      <c r="T7" s="23">
        <v>1156.556</v>
      </c>
      <c r="U7" s="23">
        <v>1142</v>
      </c>
      <c r="V7" s="23">
        <v>1265</v>
      </c>
      <c r="W7" s="39">
        <f>V7*1.1</f>
        <v>1391.5</v>
      </c>
      <c r="X7" s="35">
        <f>W7*1.08</f>
        <v>1502.8200000000002</v>
      </c>
      <c r="Y7" s="35">
        <f t="shared" ref="Y7:AE7" si="10">X7*1.08</f>
        <v>1623.0456000000004</v>
      </c>
      <c r="Z7" s="35">
        <f>Y7*1.04</f>
        <v>1687.9674240000004</v>
      </c>
      <c r="AA7" s="35">
        <f t="shared" ref="AA7:AE7" si="11">Z7*1.04</f>
        <v>1755.4861209600006</v>
      </c>
      <c r="AB7" s="35">
        <f t="shared" si="11"/>
        <v>1825.7055657984006</v>
      </c>
      <c r="AC7" s="35">
        <f t="shared" si="11"/>
        <v>1898.7337884303367</v>
      </c>
      <c r="AD7" s="35">
        <f t="shared" si="11"/>
        <v>1974.6831399675502</v>
      </c>
      <c r="AE7" s="35">
        <f t="shared" si="11"/>
        <v>2053.6704655662525</v>
      </c>
    </row>
    <row r="8" spans="2:122" s="2" customFormat="1" x14ac:dyDescent="0.2">
      <c r="B8" s="2" t="s">
        <v>46</v>
      </c>
      <c r="D8" s="51"/>
      <c r="F8" s="51"/>
      <c r="H8" s="51"/>
      <c r="J8" s="51"/>
      <c r="L8" s="51"/>
      <c r="O8" s="22">
        <f t="shared" ref="O8:T8" si="12">O6-O7</f>
        <v>174.49200000000019</v>
      </c>
      <c r="P8" s="22">
        <f t="shared" si="12"/>
        <v>204.50299999999982</v>
      </c>
      <c r="Q8" s="22">
        <f t="shared" si="12"/>
        <v>239.80300000000022</v>
      </c>
      <c r="R8" s="22">
        <f t="shared" si="12"/>
        <v>264.55600000000004</v>
      </c>
      <c r="S8" s="22">
        <f t="shared" si="12"/>
        <v>332.81200000000001</v>
      </c>
      <c r="T8" s="22">
        <f t="shared" si="12"/>
        <v>613.41400000000021</v>
      </c>
      <c r="U8" s="22">
        <f>U6-U7</f>
        <v>610</v>
      </c>
      <c r="V8" s="22">
        <f>V6-V7</f>
        <v>536</v>
      </c>
      <c r="W8" s="69">
        <f>W6-W7</f>
        <v>599.70679999999993</v>
      </c>
      <c r="X8" s="103">
        <f t="shared" ref="X8:AE8" si="13">X6-X7</f>
        <v>127.27095652173875</v>
      </c>
      <c r="Y8" s="103">
        <f t="shared" si="13"/>
        <v>218.95718086956458</v>
      </c>
      <c r="Z8" s="103">
        <f t="shared" si="13"/>
        <v>301.39557933912965</v>
      </c>
      <c r="AA8" s="103">
        <f t="shared" si="13"/>
        <v>373.13229261286847</v>
      </c>
      <c r="AB8" s="103">
        <f t="shared" si="13"/>
        <v>409.34376845311226</v>
      </c>
      <c r="AC8" s="103">
        <f t="shared" si="13"/>
        <v>448.06801253375238</v>
      </c>
      <c r="AD8" s="103">
        <f t="shared" si="13"/>
        <v>489.45875104474271</v>
      </c>
      <c r="AE8" s="103">
        <f t="shared" si="13"/>
        <v>533.67851999665527</v>
      </c>
    </row>
    <row r="9" spans="2:122" x14ac:dyDescent="0.2">
      <c r="B9" s="1" t="s">
        <v>47</v>
      </c>
      <c r="O9" s="23">
        <v>1.1659999999999999</v>
      </c>
      <c r="P9" s="23">
        <v>1.0049999999999999</v>
      </c>
      <c r="Q9" s="23">
        <v>1.7110000000000001</v>
      </c>
      <c r="R9" s="23">
        <v>0.77500000000000002</v>
      </c>
      <c r="S9" s="23">
        <v>0.879</v>
      </c>
      <c r="T9" s="23">
        <v>1.7949999999999999</v>
      </c>
      <c r="U9" s="23">
        <v>3</v>
      </c>
      <c r="V9" s="23">
        <v>-1</v>
      </c>
      <c r="W9" s="39">
        <f>AVERAGE(T9:V9)</f>
        <v>1.2649999999999999</v>
      </c>
      <c r="X9" s="35">
        <f t="shared" ref="X9:AE9" si="14">AVERAGE(U9:W9)</f>
        <v>1.0883333333333332</v>
      </c>
      <c r="Y9" s="35">
        <f t="shared" si="14"/>
        <v>0.45111111111111102</v>
      </c>
      <c r="Z9" s="35">
        <f t="shared" si="14"/>
        <v>0.93481481481481465</v>
      </c>
      <c r="AA9" s="35">
        <f t="shared" si="14"/>
        <v>0.82475308641975298</v>
      </c>
      <c r="AB9" s="35">
        <f t="shared" si="14"/>
        <v>0.73689300411522618</v>
      </c>
      <c r="AC9" s="35">
        <f t="shared" si="14"/>
        <v>0.8321536351165979</v>
      </c>
      <c r="AD9" s="35">
        <f t="shared" si="14"/>
        <v>0.79793324188385906</v>
      </c>
      <c r="AE9" s="35">
        <f t="shared" si="14"/>
        <v>0.78899329370522775</v>
      </c>
    </row>
    <row r="10" spans="2:122" x14ac:dyDescent="0.2">
      <c r="B10" s="1" t="s">
        <v>48</v>
      </c>
      <c r="O10" s="23">
        <f t="shared" ref="O10:T10" si="15">O8+O9</f>
        <v>175.65800000000019</v>
      </c>
      <c r="P10" s="23">
        <f t="shared" si="15"/>
        <v>205.50799999999981</v>
      </c>
      <c r="Q10" s="23">
        <f t="shared" si="15"/>
        <v>241.51400000000024</v>
      </c>
      <c r="R10" s="23">
        <f t="shared" si="15"/>
        <v>265.33100000000002</v>
      </c>
      <c r="S10" s="23">
        <f t="shared" si="15"/>
        <v>333.69100000000003</v>
      </c>
      <c r="T10" s="23">
        <f t="shared" si="15"/>
        <v>615.20900000000017</v>
      </c>
      <c r="U10" s="23">
        <f>U8+U9</f>
        <v>613</v>
      </c>
      <c r="V10" s="23">
        <f>V8+V9</f>
        <v>535</v>
      </c>
      <c r="W10" s="39">
        <f>V10*1.08</f>
        <v>577.80000000000007</v>
      </c>
      <c r="X10" s="35">
        <f t="shared" ref="X10:AE10" si="16">W10*1.08</f>
        <v>624.02400000000011</v>
      </c>
      <c r="Y10" s="35">
        <f t="shared" si="16"/>
        <v>673.94592000000011</v>
      </c>
      <c r="Z10" s="35">
        <f t="shared" si="16"/>
        <v>727.86159360000022</v>
      </c>
      <c r="AA10" s="35">
        <f t="shared" si="16"/>
        <v>786.09052108800029</v>
      </c>
      <c r="AB10" s="35">
        <f t="shared" si="16"/>
        <v>848.97776277504033</v>
      </c>
      <c r="AC10" s="35">
        <f t="shared" si="16"/>
        <v>916.89598379704364</v>
      </c>
      <c r="AD10" s="35">
        <f t="shared" si="16"/>
        <v>990.24766250080722</v>
      </c>
      <c r="AE10" s="35">
        <f t="shared" si="16"/>
        <v>1069.4674755008718</v>
      </c>
    </row>
    <row r="11" spans="2:122" x14ac:dyDescent="0.2">
      <c r="B11" s="1" t="s">
        <v>49</v>
      </c>
      <c r="O11" s="23">
        <v>21.573</v>
      </c>
      <c r="P11" s="23">
        <v>24.11</v>
      </c>
      <c r="Q11" s="23">
        <v>23.948</v>
      </c>
      <c r="R11" s="23">
        <v>25.951000000000001</v>
      </c>
      <c r="S11" s="23">
        <v>57.206000000000003</v>
      </c>
      <c r="T11" s="23">
        <v>61.411000000000001</v>
      </c>
      <c r="U11" s="23">
        <v>59</v>
      </c>
      <c r="V11" s="23">
        <v>61</v>
      </c>
      <c r="W11" s="39">
        <f>AVERAGE(S11:V11)</f>
        <v>59.654250000000005</v>
      </c>
      <c r="X11" s="35">
        <f t="shared" ref="X11:AE11" si="17">AVERAGE(T11:W11)</f>
        <v>60.266312499999998</v>
      </c>
      <c r="Y11" s="35">
        <f t="shared" si="17"/>
        <v>59.980140624999997</v>
      </c>
      <c r="Z11" s="35">
        <f t="shared" si="17"/>
        <v>60.225175781250002</v>
      </c>
      <c r="AA11" s="35">
        <f t="shared" si="17"/>
        <v>60.031469726562506</v>
      </c>
      <c r="AB11" s="35">
        <f t="shared" si="17"/>
        <v>60.12577465820312</v>
      </c>
      <c r="AC11" s="35">
        <f t="shared" si="17"/>
        <v>60.090640197753906</v>
      </c>
      <c r="AD11" s="35">
        <f t="shared" si="17"/>
        <v>60.118265090942387</v>
      </c>
      <c r="AE11" s="35">
        <f t="shared" si="17"/>
        <v>60.091537418365476</v>
      </c>
    </row>
    <row r="12" spans="2:122" x14ac:dyDescent="0.2">
      <c r="B12" s="1" t="s">
        <v>50</v>
      </c>
      <c r="O12" s="23">
        <v>0.46</v>
      </c>
      <c r="P12" s="23">
        <v>1.52</v>
      </c>
      <c r="Q12" s="23">
        <v>0.182</v>
      </c>
      <c r="R12" s="23">
        <v>0.36899999999999999</v>
      </c>
      <c r="S12" s="23">
        <v>24.809000000000001</v>
      </c>
      <c r="T12" s="23">
        <v>28.654</v>
      </c>
      <c r="U12" s="23">
        <v>29</v>
      </c>
      <c r="V12" s="23">
        <v>40</v>
      </c>
      <c r="W12" s="39">
        <f>AVERAGE(S12:V12)</f>
        <v>30.615749999999998</v>
      </c>
      <c r="X12" s="35">
        <f t="shared" ref="X12:AE12" si="18">AVERAGE(T12:W12)</f>
        <v>32.067437499999997</v>
      </c>
      <c r="Y12" s="35">
        <f t="shared" si="18"/>
        <v>32.920796874999994</v>
      </c>
      <c r="Z12" s="35">
        <f t="shared" si="18"/>
        <v>33.900996093749995</v>
      </c>
      <c r="AA12" s="35">
        <f t="shared" si="18"/>
        <v>32.376245117187494</v>
      </c>
      <c r="AB12" s="35">
        <f t="shared" si="18"/>
        <v>32.81636889648437</v>
      </c>
      <c r="AC12" s="35">
        <f t="shared" si="18"/>
        <v>33.003601745605465</v>
      </c>
      <c r="AD12" s="35">
        <f t="shared" si="18"/>
        <v>33.024302963256829</v>
      </c>
      <c r="AE12" s="35">
        <f t="shared" si="18"/>
        <v>32.805129680633542</v>
      </c>
    </row>
    <row r="13" spans="2:122" x14ac:dyDescent="0.2">
      <c r="B13" s="1" t="s">
        <v>51</v>
      </c>
      <c r="O13" s="23">
        <v>0</v>
      </c>
      <c r="P13" s="23">
        <v>0</v>
      </c>
      <c r="Q13" s="23">
        <v>11.568</v>
      </c>
      <c r="R13" s="23">
        <v>9.8569999999999993</v>
      </c>
      <c r="S13" s="23">
        <f>0.213+0.134</f>
        <v>0.34699999999999998</v>
      </c>
      <c r="T13" s="23">
        <v>0.29499999999999998</v>
      </c>
      <c r="U13" s="23">
        <v>0</v>
      </c>
      <c r="V13" s="23">
        <v>2</v>
      </c>
      <c r="W13" s="39">
        <f>AVERAGE(S13:V13)</f>
        <v>0.66049999999999998</v>
      </c>
      <c r="X13" s="35">
        <f>AVERAGE(T13:W13)</f>
        <v>0.73887499999999995</v>
      </c>
      <c r="Y13" s="35">
        <f t="shared" ref="Y13:AE13" si="19">AVERAGE(U13:X13)</f>
        <v>0.84984375000000001</v>
      </c>
      <c r="Z13" s="35">
        <f t="shared" si="19"/>
        <v>1.0623046875</v>
      </c>
      <c r="AA13" s="35">
        <f t="shared" si="19"/>
        <v>0.827880859375</v>
      </c>
      <c r="AB13" s="35">
        <f t="shared" si="19"/>
        <v>0.86972607421875003</v>
      </c>
      <c r="AC13" s="35">
        <f t="shared" si="19"/>
        <v>0.90243884277343756</v>
      </c>
      <c r="AD13" s="35">
        <f t="shared" si="19"/>
        <v>0.91558761596679683</v>
      </c>
      <c r="AE13" s="35">
        <f t="shared" si="19"/>
        <v>0.87890834808349605</v>
      </c>
    </row>
    <row r="14" spans="2:122" x14ac:dyDescent="0.2">
      <c r="B14" s="1" t="s">
        <v>52</v>
      </c>
      <c r="O14" s="23">
        <f t="shared" ref="O14:T14" si="20">O10-O11-O12+O13</f>
        <v>153.62500000000017</v>
      </c>
      <c r="P14" s="23">
        <f t="shared" si="20"/>
        <v>179.87799999999979</v>
      </c>
      <c r="Q14" s="23">
        <f t="shared" si="20"/>
        <v>228.95200000000025</v>
      </c>
      <c r="R14" s="23">
        <f t="shared" si="20"/>
        <v>248.86800000000002</v>
      </c>
      <c r="S14" s="23">
        <f t="shared" si="20"/>
        <v>252.02300000000002</v>
      </c>
      <c r="T14" s="23">
        <f t="shared" si="20"/>
        <v>525.43900000000019</v>
      </c>
      <c r="U14" s="23">
        <f>U10-U11-U12+U13</f>
        <v>525</v>
      </c>
      <c r="V14" s="23">
        <f>V10-V11-V12+V13</f>
        <v>436</v>
      </c>
      <c r="W14" s="39">
        <f t="shared" ref="W14:AE14" si="21">W10-W11-W12+W13</f>
        <v>488.19050000000004</v>
      </c>
      <c r="X14" s="35">
        <f t="shared" si="21"/>
        <v>532.42912500000011</v>
      </c>
      <c r="Y14" s="35">
        <f t="shared" si="21"/>
        <v>581.89482625000016</v>
      </c>
      <c r="Z14" s="35">
        <f t="shared" si="21"/>
        <v>634.79772641250031</v>
      </c>
      <c r="AA14" s="35">
        <f t="shared" si="21"/>
        <v>694.51068710362529</v>
      </c>
      <c r="AB14" s="35">
        <f t="shared" si="21"/>
        <v>756.90534529457159</v>
      </c>
      <c r="AC14" s="35">
        <f t="shared" si="21"/>
        <v>824.70418069645768</v>
      </c>
      <c r="AD14" s="35">
        <f t="shared" si="21"/>
        <v>898.02068206257491</v>
      </c>
      <c r="AE14" s="35">
        <f t="shared" si="21"/>
        <v>977.44971674995634</v>
      </c>
    </row>
    <row r="15" spans="2:122" x14ac:dyDescent="0.2">
      <c r="B15" s="1" t="s">
        <v>53</v>
      </c>
      <c r="O15" s="23">
        <v>28.745000000000001</v>
      </c>
      <c r="P15" s="23">
        <v>38.884999999999998</v>
      </c>
      <c r="Q15" s="23">
        <v>43.511000000000003</v>
      </c>
      <c r="R15" s="23">
        <v>46.716999999999999</v>
      </c>
      <c r="S15" s="23">
        <v>57.246000000000002</v>
      </c>
      <c r="T15" s="23">
        <v>97.334999999999994</v>
      </c>
      <c r="U15" s="23">
        <v>103</v>
      </c>
      <c r="V15" s="23">
        <v>88</v>
      </c>
      <c r="W15" s="39">
        <f>W14*W30</f>
        <v>97.638100000000009</v>
      </c>
      <c r="X15" s="35">
        <f t="shared" ref="X15:AE15" si="22">X14*X30</f>
        <v>106.48582500000003</v>
      </c>
      <c r="Y15" s="35">
        <f t="shared" si="22"/>
        <v>116.37896525000004</v>
      </c>
      <c r="Z15" s="35">
        <f t="shared" si="22"/>
        <v>126.95954528250007</v>
      </c>
      <c r="AA15" s="35">
        <f t="shared" si="22"/>
        <v>138.90213742072507</v>
      </c>
      <c r="AB15" s="35">
        <f t="shared" si="22"/>
        <v>151.38106905891433</v>
      </c>
      <c r="AC15" s="35">
        <f t="shared" si="22"/>
        <v>164.94083613929155</v>
      </c>
      <c r="AD15" s="35">
        <f t="shared" si="22"/>
        <v>179.604136412515</v>
      </c>
      <c r="AE15" s="35">
        <f t="shared" si="22"/>
        <v>195.48994334999128</v>
      </c>
    </row>
    <row r="16" spans="2:122" s="2" customFormat="1" x14ac:dyDescent="0.2">
      <c r="B16" s="2" t="s">
        <v>54</v>
      </c>
      <c r="D16" s="51"/>
      <c r="F16" s="51"/>
      <c r="H16" s="51"/>
      <c r="J16" s="51"/>
      <c r="L16" s="51"/>
      <c r="O16" s="22">
        <f t="shared" ref="O16:T16" si="23">O14-O15</f>
        <v>124.88000000000017</v>
      </c>
      <c r="P16" s="22">
        <f t="shared" si="23"/>
        <v>140.9929999999998</v>
      </c>
      <c r="Q16" s="22">
        <f t="shared" si="23"/>
        <v>185.44100000000026</v>
      </c>
      <c r="R16" s="22">
        <f t="shared" si="23"/>
        <v>202.15100000000001</v>
      </c>
      <c r="S16" s="22">
        <f t="shared" si="23"/>
        <v>194.77700000000002</v>
      </c>
      <c r="T16" s="22">
        <f t="shared" si="23"/>
        <v>428.10400000000021</v>
      </c>
      <c r="U16" s="22">
        <f>U14-U15</f>
        <v>422</v>
      </c>
      <c r="V16" s="22">
        <f>V14-V15</f>
        <v>348</v>
      </c>
      <c r="W16" s="69">
        <f t="shared" ref="W16:AE16" si="24">W14-W15</f>
        <v>390.55240000000003</v>
      </c>
      <c r="X16" s="103">
        <f t="shared" si="24"/>
        <v>425.94330000000008</v>
      </c>
      <c r="Y16" s="103">
        <f t="shared" si="24"/>
        <v>465.51586100000014</v>
      </c>
      <c r="Z16" s="103">
        <f t="shared" si="24"/>
        <v>507.83818113000024</v>
      </c>
      <c r="AA16" s="103">
        <f t="shared" si="24"/>
        <v>555.60854968290028</v>
      </c>
      <c r="AB16" s="103">
        <f t="shared" si="24"/>
        <v>605.52427623565723</v>
      </c>
      <c r="AC16" s="103">
        <f t="shared" si="24"/>
        <v>659.76334455716619</v>
      </c>
      <c r="AD16" s="103">
        <f t="shared" si="24"/>
        <v>718.4165456500599</v>
      </c>
      <c r="AE16" s="103">
        <f t="shared" si="24"/>
        <v>781.95977339996512</v>
      </c>
      <c r="AF16" s="22">
        <f>AE16*(1+$AH$27)</f>
        <v>789.77937113396479</v>
      </c>
      <c r="AG16" s="22">
        <f t="shared" ref="AG16:CR16" si="25">AF16*(1+$AH$27)</f>
        <v>797.67716484530445</v>
      </c>
      <c r="AH16" s="22">
        <f t="shared" si="25"/>
        <v>805.65393649375744</v>
      </c>
      <c r="AI16" s="22">
        <f t="shared" si="25"/>
        <v>813.71047585869508</v>
      </c>
      <c r="AJ16" s="22">
        <f t="shared" si="25"/>
        <v>821.84758061728201</v>
      </c>
      <c r="AK16" s="22">
        <f t="shared" si="25"/>
        <v>830.06605642345482</v>
      </c>
      <c r="AL16" s="22">
        <f t="shared" si="25"/>
        <v>838.36671698768941</v>
      </c>
      <c r="AM16" s="22">
        <f t="shared" si="25"/>
        <v>846.75038415756637</v>
      </c>
      <c r="AN16" s="22">
        <f t="shared" si="25"/>
        <v>855.21788799914202</v>
      </c>
      <c r="AO16" s="22">
        <f t="shared" si="25"/>
        <v>863.77006687913342</v>
      </c>
      <c r="AP16" s="22">
        <f t="shared" si="25"/>
        <v>872.40776754792478</v>
      </c>
      <c r="AQ16" s="22">
        <f t="shared" si="25"/>
        <v>881.13184522340407</v>
      </c>
      <c r="AR16" s="22">
        <f t="shared" si="25"/>
        <v>889.94316367563817</v>
      </c>
      <c r="AS16" s="22">
        <f t="shared" si="25"/>
        <v>898.84259531239456</v>
      </c>
      <c r="AT16" s="22">
        <f t="shared" si="25"/>
        <v>907.83102126551853</v>
      </c>
      <c r="AU16" s="22">
        <f t="shared" si="25"/>
        <v>916.90933147817373</v>
      </c>
      <c r="AV16" s="22">
        <f t="shared" si="25"/>
        <v>926.0784247929555</v>
      </c>
      <c r="AW16" s="22">
        <f t="shared" si="25"/>
        <v>935.33920904088507</v>
      </c>
      <c r="AX16" s="22">
        <f t="shared" si="25"/>
        <v>944.69260113129394</v>
      </c>
      <c r="AY16" s="22">
        <f t="shared" si="25"/>
        <v>954.13952714260688</v>
      </c>
      <c r="AZ16" s="22">
        <f t="shared" si="25"/>
        <v>963.68092241403292</v>
      </c>
      <c r="BA16" s="22">
        <f t="shared" si="25"/>
        <v>973.31773163817331</v>
      </c>
      <c r="BB16" s="22">
        <f t="shared" si="25"/>
        <v>983.0509089545551</v>
      </c>
      <c r="BC16" s="22">
        <f t="shared" si="25"/>
        <v>992.88141804410066</v>
      </c>
      <c r="BD16" s="22">
        <f t="shared" si="25"/>
        <v>1002.8102322245417</v>
      </c>
      <c r="BE16" s="22">
        <f t="shared" si="25"/>
        <v>1012.8383345467871</v>
      </c>
      <c r="BF16" s="22">
        <f t="shared" si="25"/>
        <v>1022.966717892255</v>
      </c>
      <c r="BG16" s="22">
        <f t="shared" si="25"/>
        <v>1033.1963850711775</v>
      </c>
      <c r="BH16" s="22">
        <f t="shared" si="25"/>
        <v>1043.5283489218893</v>
      </c>
      <c r="BI16" s="22">
        <f t="shared" si="25"/>
        <v>1053.9636324111082</v>
      </c>
      <c r="BJ16" s="22">
        <f t="shared" si="25"/>
        <v>1064.5032687352193</v>
      </c>
      <c r="BK16" s="22">
        <f t="shared" si="25"/>
        <v>1075.1483014225714</v>
      </c>
      <c r="BL16" s="22">
        <f t="shared" si="25"/>
        <v>1085.8997844367971</v>
      </c>
      <c r="BM16" s="22">
        <f t="shared" si="25"/>
        <v>1096.7587822811649</v>
      </c>
      <c r="BN16" s="22">
        <f t="shared" si="25"/>
        <v>1107.7263701039767</v>
      </c>
      <c r="BO16" s="22">
        <f t="shared" si="25"/>
        <v>1118.8036338050165</v>
      </c>
      <c r="BP16" s="22">
        <f t="shared" si="25"/>
        <v>1129.9916701430666</v>
      </c>
      <c r="BQ16" s="22">
        <f t="shared" si="25"/>
        <v>1141.2915868444973</v>
      </c>
      <c r="BR16" s="22">
        <f t="shared" si="25"/>
        <v>1152.7045027129423</v>
      </c>
      <c r="BS16" s="22">
        <f t="shared" si="25"/>
        <v>1164.2315477400716</v>
      </c>
      <c r="BT16" s="22">
        <f t="shared" si="25"/>
        <v>1175.8738632174723</v>
      </c>
      <c r="BU16" s="22">
        <f t="shared" si="25"/>
        <v>1187.632601849647</v>
      </c>
      <c r="BV16" s="22">
        <f t="shared" si="25"/>
        <v>1199.5089278681435</v>
      </c>
      <c r="BW16" s="22">
        <f t="shared" si="25"/>
        <v>1211.5040171468249</v>
      </c>
      <c r="BX16" s="22">
        <f t="shared" si="25"/>
        <v>1223.6190573182932</v>
      </c>
      <c r="BY16" s="22">
        <f t="shared" si="25"/>
        <v>1235.8552478914762</v>
      </c>
      <c r="BZ16" s="22">
        <f t="shared" si="25"/>
        <v>1248.213800370391</v>
      </c>
      <c r="CA16" s="22">
        <f t="shared" si="25"/>
        <v>1260.695938374095</v>
      </c>
      <c r="CB16" s="22">
        <f t="shared" si="25"/>
        <v>1273.302897757836</v>
      </c>
      <c r="CC16" s="22">
        <f t="shared" si="25"/>
        <v>1286.0359267354145</v>
      </c>
      <c r="CD16" s="22">
        <f t="shared" si="25"/>
        <v>1298.8962860027686</v>
      </c>
      <c r="CE16" s="22">
        <f t="shared" si="25"/>
        <v>1311.8852488627963</v>
      </c>
      <c r="CF16" s="22">
        <f t="shared" si="25"/>
        <v>1325.0041013514242</v>
      </c>
      <c r="CG16" s="22">
        <f t="shared" si="25"/>
        <v>1338.2541423649384</v>
      </c>
      <c r="CH16" s="22">
        <f t="shared" si="25"/>
        <v>1351.6366837885878</v>
      </c>
      <c r="CI16" s="22">
        <f t="shared" si="25"/>
        <v>1365.1530506264737</v>
      </c>
      <c r="CJ16" s="22">
        <f t="shared" si="25"/>
        <v>1378.8045811327386</v>
      </c>
      <c r="CK16" s="22">
        <f t="shared" si="25"/>
        <v>1392.5926269440661</v>
      </c>
      <c r="CL16" s="22">
        <f t="shared" si="25"/>
        <v>1406.5185532135067</v>
      </c>
      <c r="CM16" s="22">
        <f t="shared" si="25"/>
        <v>1420.5837387456418</v>
      </c>
      <c r="CN16" s="22">
        <f t="shared" si="25"/>
        <v>1434.7895761330983</v>
      </c>
      <c r="CO16" s="22">
        <f t="shared" si="25"/>
        <v>1449.1374718944294</v>
      </c>
      <c r="CP16" s="22">
        <f t="shared" si="25"/>
        <v>1463.6288466133738</v>
      </c>
      <c r="CQ16" s="22">
        <f t="shared" si="25"/>
        <v>1478.2651350795074</v>
      </c>
      <c r="CR16" s="22">
        <f t="shared" si="25"/>
        <v>1493.0477864303025</v>
      </c>
      <c r="CS16" s="22">
        <f t="shared" ref="CS16:DR16" si="26">CR16*(1+$AH$27)</f>
        <v>1507.9782642946054</v>
      </c>
      <c r="CT16" s="22">
        <f t="shared" si="26"/>
        <v>1523.0580469375516</v>
      </c>
      <c r="CU16" s="22">
        <f t="shared" si="26"/>
        <v>1538.2886274069272</v>
      </c>
      <c r="CV16" s="22">
        <f t="shared" si="26"/>
        <v>1553.6715136809964</v>
      </c>
      <c r="CW16" s="22">
        <f t="shared" si="26"/>
        <v>1569.2082288178065</v>
      </c>
      <c r="CX16" s="22">
        <f t="shared" si="26"/>
        <v>1584.9003111059844</v>
      </c>
      <c r="CY16" s="22">
        <f t="shared" si="26"/>
        <v>1600.7493142170442</v>
      </c>
      <c r="CZ16" s="22">
        <f t="shared" si="26"/>
        <v>1616.7568073592147</v>
      </c>
      <c r="DA16" s="22">
        <f t="shared" si="26"/>
        <v>1632.9243754328068</v>
      </c>
      <c r="DB16" s="22">
        <f t="shared" si="26"/>
        <v>1649.2536191871347</v>
      </c>
      <c r="DC16" s="22">
        <f t="shared" si="26"/>
        <v>1665.746155379006</v>
      </c>
      <c r="DD16" s="22">
        <f t="shared" si="26"/>
        <v>1682.403616932796</v>
      </c>
      <c r="DE16" s="22">
        <f t="shared" si="26"/>
        <v>1699.2276531021239</v>
      </c>
      <c r="DF16" s="22">
        <f t="shared" si="26"/>
        <v>1716.2199296331451</v>
      </c>
      <c r="DG16" s="22">
        <f t="shared" si="26"/>
        <v>1733.3821289294765</v>
      </c>
      <c r="DH16" s="22">
        <f t="shared" si="26"/>
        <v>1750.7159502187712</v>
      </c>
      <c r="DI16" s="22">
        <f t="shared" si="26"/>
        <v>1768.223109720959</v>
      </c>
      <c r="DJ16" s="22">
        <f t="shared" si="26"/>
        <v>1785.9053408181685</v>
      </c>
      <c r="DK16" s="22">
        <f t="shared" si="26"/>
        <v>1803.7643942263503</v>
      </c>
      <c r="DL16" s="22">
        <f t="shared" si="26"/>
        <v>1821.8020381686138</v>
      </c>
      <c r="DM16" s="22">
        <f t="shared" si="26"/>
        <v>1840.0200585502998</v>
      </c>
      <c r="DN16" s="22">
        <f t="shared" si="26"/>
        <v>1858.4202591358028</v>
      </c>
      <c r="DO16" s="22">
        <f t="shared" si="26"/>
        <v>1877.0044617271608</v>
      </c>
      <c r="DP16" s="22">
        <f t="shared" si="26"/>
        <v>1895.7745063444324</v>
      </c>
      <c r="DQ16" s="22">
        <f t="shared" si="26"/>
        <v>1914.7322514078767</v>
      </c>
      <c r="DR16" s="22">
        <f t="shared" si="26"/>
        <v>1933.8795739219554</v>
      </c>
    </row>
    <row r="17" spans="2:34" x14ac:dyDescent="0.2">
      <c r="B17" s="1" t="s">
        <v>56</v>
      </c>
      <c r="O17" s="23">
        <v>5.5</v>
      </c>
      <c r="P17" s="23">
        <v>7.4790000000000001</v>
      </c>
      <c r="Q17" s="23">
        <v>-15.659000000000001</v>
      </c>
      <c r="R17" s="23">
        <v>-2.2850000000000001</v>
      </c>
      <c r="S17" s="23">
        <v>1.661</v>
      </c>
      <c r="T17" s="23">
        <v>-1.222</v>
      </c>
      <c r="U17" s="23">
        <v>-2</v>
      </c>
      <c r="V17" s="23">
        <v>5</v>
      </c>
      <c r="W17" s="39">
        <f>AVERAGE(S17:V17)</f>
        <v>0.85975000000000001</v>
      </c>
      <c r="X17" s="35">
        <f t="shared" ref="X17:AE17" si="27">AVERAGE(T17:W17)</f>
        <v>0.65943750000000001</v>
      </c>
      <c r="Y17" s="35">
        <f t="shared" si="27"/>
        <v>1.129796875</v>
      </c>
      <c r="Z17" s="35">
        <f t="shared" si="27"/>
        <v>1.9122460937500001</v>
      </c>
      <c r="AA17" s="35">
        <f t="shared" si="27"/>
        <v>1.1403076171875002</v>
      </c>
      <c r="AB17" s="35">
        <f t="shared" si="27"/>
        <v>1.210447021484375</v>
      </c>
      <c r="AC17" s="35">
        <f t="shared" si="27"/>
        <v>1.348199401855469</v>
      </c>
      <c r="AD17" s="35">
        <f t="shared" si="27"/>
        <v>1.4028000335693362</v>
      </c>
      <c r="AE17" s="35">
        <f t="shared" si="27"/>
        <v>1.2754385185241701</v>
      </c>
    </row>
    <row r="18" spans="2:34" x14ac:dyDescent="0.2">
      <c r="B18" s="1" t="s">
        <v>55</v>
      </c>
      <c r="O18" s="23">
        <v>0</v>
      </c>
      <c r="P18" s="23">
        <v>-1.667</v>
      </c>
      <c r="Q18" s="23">
        <v>2.1000000000000001E-2</v>
      </c>
      <c r="R18" s="23">
        <v>19.995999999999999</v>
      </c>
      <c r="S18" s="23">
        <v>8.6790000000000003</v>
      </c>
      <c r="T18" s="23">
        <v>-20.939</v>
      </c>
      <c r="U18" s="23">
        <v>20</v>
      </c>
      <c r="V18" s="23">
        <v>28</v>
      </c>
      <c r="W18" s="39">
        <f>AVERAGE(S18:V18)</f>
        <v>8.9350000000000005</v>
      </c>
      <c r="X18" s="35">
        <f t="shared" ref="X18:AE18" si="28">AVERAGE(T18:W18)</f>
        <v>8.9990000000000006</v>
      </c>
      <c r="Y18" s="35">
        <f t="shared" si="28"/>
        <v>16.483499999999999</v>
      </c>
      <c r="Z18" s="35">
        <f t="shared" si="28"/>
        <v>15.604375000000001</v>
      </c>
      <c r="AA18" s="35">
        <f t="shared" si="28"/>
        <v>12.505468750000002</v>
      </c>
      <c r="AB18" s="35">
        <f t="shared" si="28"/>
        <v>13.398085937500003</v>
      </c>
      <c r="AC18" s="35">
        <f t="shared" si="28"/>
        <v>14.497857421875</v>
      </c>
      <c r="AD18" s="35">
        <f t="shared" si="28"/>
        <v>14.001446777343752</v>
      </c>
      <c r="AE18" s="35">
        <f t="shared" si="28"/>
        <v>13.600714721679688</v>
      </c>
    </row>
    <row r="19" spans="2:34" x14ac:dyDescent="0.2">
      <c r="B19" s="1" t="s">
        <v>57</v>
      </c>
      <c r="O19" s="23">
        <f>0.005+0.013</f>
        <v>1.7999999999999999E-2</v>
      </c>
      <c r="P19" s="23">
        <f>0.016+0.324</f>
        <v>0.34</v>
      </c>
      <c r="Q19" s="23">
        <v>2.4700000000000002</v>
      </c>
      <c r="R19" s="23">
        <f>0.005-3.481</f>
        <v>-3.476</v>
      </c>
      <c r="S19" s="23">
        <v>-1.383</v>
      </c>
      <c r="T19" s="23">
        <v>4.5090000000000003</v>
      </c>
      <c r="U19" s="23">
        <v>-4</v>
      </c>
      <c r="V19" s="23">
        <v>5</v>
      </c>
      <c r="W19" s="39">
        <f>AVERAGE(S19:V19)</f>
        <v>1.0315000000000001</v>
      </c>
      <c r="X19" s="35">
        <f t="shared" ref="X19:AE19" si="29">AVERAGE(T19:W19)</f>
        <v>1.6351250000000002</v>
      </c>
      <c r="Y19" s="35">
        <f t="shared" si="29"/>
        <v>0.91665625000000017</v>
      </c>
      <c r="Z19" s="35">
        <f t="shared" si="29"/>
        <v>2.1458203125000002</v>
      </c>
      <c r="AA19" s="35">
        <f t="shared" si="29"/>
        <v>1.4322753906250001</v>
      </c>
      <c r="AB19" s="35">
        <f t="shared" si="29"/>
        <v>1.5324692382812501</v>
      </c>
      <c r="AC19" s="35">
        <f t="shared" si="29"/>
        <v>1.5068052978515625</v>
      </c>
      <c r="AD19" s="35">
        <f t="shared" si="29"/>
        <v>1.6543425598144532</v>
      </c>
      <c r="AE19" s="35">
        <f t="shared" si="29"/>
        <v>1.5314731216430666</v>
      </c>
    </row>
    <row r="20" spans="2:34" s="2" customFormat="1" x14ac:dyDescent="0.2">
      <c r="B20" s="2" t="s">
        <v>58</v>
      </c>
      <c r="D20" s="51"/>
      <c r="F20" s="51"/>
      <c r="H20" s="51"/>
      <c r="J20" s="51"/>
      <c r="L20" s="51"/>
      <c r="O20" s="22">
        <f t="shared" ref="O20:T20" si="30">O16+SUM(O17:O19)</f>
        <v>130.39800000000017</v>
      </c>
      <c r="P20" s="22">
        <f t="shared" si="30"/>
        <v>147.14499999999978</v>
      </c>
      <c r="Q20" s="22">
        <f t="shared" si="30"/>
        <v>172.27300000000025</v>
      </c>
      <c r="R20" s="22">
        <f t="shared" si="30"/>
        <v>216.38600000000002</v>
      </c>
      <c r="S20" s="22">
        <f t="shared" si="30"/>
        <v>203.73400000000001</v>
      </c>
      <c r="T20" s="22">
        <f t="shared" si="30"/>
        <v>410.45200000000023</v>
      </c>
      <c r="U20" s="22">
        <f>U16+SUM(U17:U19)</f>
        <v>436</v>
      </c>
      <c r="V20" s="22">
        <f>V16+SUM(V17:V19)</f>
        <v>386</v>
      </c>
      <c r="W20" s="69">
        <f>W16+SUM(W17:W19)</f>
        <v>401.37865000000005</v>
      </c>
      <c r="X20" s="103">
        <f t="shared" ref="X20:AE20" si="31">X16+SUM(X17:X19)</f>
        <v>437.23686250000009</v>
      </c>
      <c r="Y20" s="103">
        <f t="shared" si="31"/>
        <v>484.04581412500016</v>
      </c>
      <c r="Z20" s="103">
        <f t="shared" si="31"/>
        <v>527.50062253625026</v>
      </c>
      <c r="AA20" s="103">
        <f t="shared" si="31"/>
        <v>570.68660144071282</v>
      </c>
      <c r="AB20" s="103">
        <f t="shared" si="31"/>
        <v>621.66527843292283</v>
      </c>
      <c r="AC20" s="103">
        <f t="shared" si="31"/>
        <v>677.1162066787482</v>
      </c>
      <c r="AD20" s="103">
        <f t="shared" si="31"/>
        <v>735.47513502078743</v>
      </c>
      <c r="AE20" s="103">
        <f t="shared" si="31"/>
        <v>798.36739976181207</v>
      </c>
    </row>
    <row r="21" spans="2:34" s="30" customFormat="1" x14ac:dyDescent="0.2">
      <c r="B21" s="30" t="s">
        <v>59</v>
      </c>
      <c r="D21" s="53"/>
      <c r="F21" s="53"/>
      <c r="H21" s="53"/>
      <c r="J21" s="53"/>
      <c r="L21" s="53"/>
      <c r="O21" s="30">
        <f t="shared" ref="O21" si="32">O20/O22</f>
        <v>0.13033609035708055</v>
      </c>
      <c r="P21" s="30">
        <f t="shared" ref="P21" si="33">P20/P22</f>
        <v>0.14712322576258691</v>
      </c>
      <c r="Q21" s="30">
        <f t="shared" ref="Q21" si="34">Q20/Q22</f>
        <v>0.1721609232389717</v>
      </c>
      <c r="R21" s="30">
        <f t="shared" ref="R21" si="35">R20/R22</f>
        <v>0.21616680685784617</v>
      </c>
      <c r="S21" s="30">
        <f t="shared" ref="S21:T21" si="36">S20/S22</f>
        <v>0.20361793777546799</v>
      </c>
      <c r="T21" s="30">
        <f t="shared" si="36"/>
        <v>0.4101669339808835</v>
      </c>
      <c r="U21" s="30">
        <f>U20/U22</f>
        <v>0.4355378942941539</v>
      </c>
      <c r="V21" s="30">
        <f t="shared" ref="V21" si="37">V20/V22</f>
        <v>0.3853860799746005</v>
      </c>
      <c r="W21" s="66">
        <f>W20/W22</f>
        <v>0.40074027074869739</v>
      </c>
      <c r="X21" s="104">
        <f t="shared" ref="X21:AE21" si="38">X20/X22</f>
        <v>0.43654145196701666</v>
      </c>
      <c r="Y21" s="104">
        <f t="shared" si="38"/>
        <v>0.4832759555278443</v>
      </c>
      <c r="Z21" s="104">
        <f t="shared" si="38"/>
        <v>0.52666165052696079</v>
      </c>
      <c r="AA21" s="104">
        <f t="shared" si="38"/>
        <v>0.56977894358358416</v>
      </c>
      <c r="AB21" s="104">
        <f t="shared" si="38"/>
        <v>0.62067654070358202</v>
      </c>
      <c r="AC21" s="104">
        <f t="shared" si="38"/>
        <v>0.67603927611190195</v>
      </c>
      <c r="AD21" s="104">
        <f t="shared" si="38"/>
        <v>0.73430538654002919</v>
      </c>
      <c r="AE21" s="104">
        <f t="shared" si="38"/>
        <v>0.79709762324797806</v>
      </c>
    </row>
    <row r="22" spans="2:34" s="14" customFormat="1" x14ac:dyDescent="0.2">
      <c r="B22" s="14" t="s">
        <v>3</v>
      </c>
      <c r="D22" s="54"/>
      <c r="F22" s="54"/>
      <c r="H22" s="54"/>
      <c r="J22" s="54"/>
      <c r="L22" s="54"/>
      <c r="O22" s="14">
        <v>1000.475</v>
      </c>
      <c r="P22" s="14">
        <v>1000.148</v>
      </c>
      <c r="Q22" s="14">
        <v>1000.651</v>
      </c>
      <c r="R22" s="14">
        <v>1001.014</v>
      </c>
      <c r="S22" s="14">
        <v>1000.57</v>
      </c>
      <c r="T22" s="14">
        <v>1000.6950000000001</v>
      </c>
      <c r="U22" s="14">
        <v>1001.061</v>
      </c>
      <c r="V22" s="14">
        <v>1001.593</v>
      </c>
      <c r="W22" s="67">
        <f>V22</f>
        <v>1001.593</v>
      </c>
      <c r="X22" s="105">
        <f>W22</f>
        <v>1001.593</v>
      </c>
      <c r="Y22" s="105">
        <f t="shared" ref="Y22:AD22" si="39">X22</f>
        <v>1001.593</v>
      </c>
      <c r="Z22" s="105">
        <f t="shared" si="39"/>
        <v>1001.593</v>
      </c>
      <c r="AA22" s="105">
        <f t="shared" si="39"/>
        <v>1001.593</v>
      </c>
      <c r="AB22" s="105">
        <f t="shared" si="39"/>
        <v>1001.593</v>
      </c>
      <c r="AC22" s="105">
        <f t="shared" si="39"/>
        <v>1001.593</v>
      </c>
      <c r="AD22" s="105">
        <f t="shared" si="39"/>
        <v>1001.593</v>
      </c>
      <c r="AE22" s="105">
        <f t="shared" ref="AE22" si="40">AD22</f>
        <v>1001.593</v>
      </c>
    </row>
    <row r="24" spans="2:34" s="2" customFormat="1" x14ac:dyDescent="0.2">
      <c r="B24" s="2" t="s">
        <v>60</v>
      </c>
      <c r="D24" s="51"/>
      <c r="F24" s="51"/>
      <c r="H24" s="51"/>
      <c r="J24" s="51"/>
      <c r="L24" s="51"/>
      <c r="O24" s="18" t="s">
        <v>73</v>
      </c>
      <c r="P24" s="28">
        <f t="shared" ref="P24:S24" si="41">P4/O4-1</f>
        <v>0.19426026330464774</v>
      </c>
      <c r="Q24" s="28">
        <f t="shared" si="41"/>
        <v>0.2464935449630965</v>
      </c>
      <c r="R24" s="28">
        <f t="shared" si="41"/>
        <v>0.15066760138121227</v>
      </c>
      <c r="S24" s="28">
        <f t="shared" si="41"/>
        <v>9.3822238221378251E-2</v>
      </c>
      <c r="T24" s="28">
        <f>T4/S4-1</f>
        <v>0.25909722774006405</v>
      </c>
      <c r="U24" s="28">
        <f>U4/T4-1</f>
        <v>-2.6747267738223557E-2</v>
      </c>
      <c r="V24" s="28">
        <f>V4/U4-1</f>
        <v>6.633854055210775E-2</v>
      </c>
      <c r="W24" s="68">
        <v>0.08</v>
      </c>
      <c r="X24" s="106">
        <v>0.1</v>
      </c>
      <c r="Y24" s="106">
        <v>0.13</v>
      </c>
      <c r="Z24" s="106">
        <v>0.08</v>
      </c>
      <c r="AA24" s="106">
        <v>7.0000000000000007E-2</v>
      </c>
      <c r="AB24" s="106">
        <v>0.05</v>
      </c>
      <c r="AC24" s="106">
        <v>0.05</v>
      </c>
      <c r="AD24" s="106">
        <v>0.05</v>
      </c>
      <c r="AE24" s="106">
        <v>0.05</v>
      </c>
    </row>
    <row r="25" spans="2:34" s="2" customFormat="1" x14ac:dyDescent="0.2">
      <c r="B25" s="1" t="s">
        <v>61</v>
      </c>
      <c r="D25" s="51"/>
      <c r="F25" s="51"/>
      <c r="H25" s="51"/>
      <c r="J25" s="51"/>
      <c r="L25" s="51"/>
      <c r="O25" s="18" t="s">
        <v>73</v>
      </c>
      <c r="P25" s="18" t="s">
        <v>73</v>
      </c>
      <c r="Q25" s="18" t="s">
        <v>73</v>
      </c>
      <c r="R25" s="18" t="s">
        <v>73</v>
      </c>
      <c r="S25" s="18" t="s">
        <v>73</v>
      </c>
      <c r="T25" s="18" t="s">
        <v>73</v>
      </c>
      <c r="U25" s="18" t="s">
        <v>73</v>
      </c>
      <c r="V25" s="18" t="s">
        <v>73</v>
      </c>
      <c r="W25" s="65"/>
      <c r="X25" s="107"/>
      <c r="Y25" s="107"/>
      <c r="Z25" s="107"/>
      <c r="AA25" s="107"/>
      <c r="AB25" s="107"/>
      <c r="AC25" s="107"/>
      <c r="AD25" s="107"/>
      <c r="AE25" s="107"/>
    </row>
    <row r="27" spans="2:34" x14ac:dyDescent="0.2">
      <c r="B27" s="1" t="s">
        <v>62</v>
      </c>
      <c r="O27" s="27">
        <f t="shared" ref="O27" si="42">O6/O4</f>
        <v>0.34541698091422091</v>
      </c>
      <c r="P27" s="27">
        <f t="shared" ref="P27" si="43">P6/P4</f>
        <v>0.34736902734236785</v>
      </c>
      <c r="Q27" s="27">
        <f t="shared" ref="Q27:R27" si="44">Q6/Q4</f>
        <v>0.33958489696686456</v>
      </c>
      <c r="R27" s="27">
        <f t="shared" si="44"/>
        <v>0.34122585724960164</v>
      </c>
      <c r="S27" s="27">
        <f t="shared" ref="S27" si="45">S6/S4</f>
        <v>0.33639596505678548</v>
      </c>
      <c r="T27" s="27">
        <f t="shared" ref="T27" si="46">T6/T4</f>
        <v>0.36863431168871746</v>
      </c>
      <c r="U27" s="27">
        <f t="shared" ref="U27" si="47">U6/U4</f>
        <v>0.37491975176546116</v>
      </c>
      <c r="V27" s="27">
        <f>V6/V4</f>
        <v>0.36142885811759984</v>
      </c>
      <c r="W27" s="75">
        <v>0.37</v>
      </c>
      <c r="X27" s="108">
        <v>0.38</v>
      </c>
      <c r="Y27" s="108">
        <v>0.38</v>
      </c>
      <c r="Z27" s="108">
        <v>0.38</v>
      </c>
      <c r="AA27" s="108">
        <v>0.38</v>
      </c>
      <c r="AB27" s="108">
        <v>0.38</v>
      </c>
      <c r="AC27" s="108">
        <v>0.38</v>
      </c>
      <c r="AD27" s="108">
        <v>0.38</v>
      </c>
      <c r="AE27" s="108">
        <v>0.38</v>
      </c>
      <c r="AG27" s="115" t="s">
        <v>146</v>
      </c>
      <c r="AH27" s="118">
        <v>0.01</v>
      </c>
    </row>
    <row r="28" spans="2:34" x14ac:dyDescent="0.2">
      <c r="B28" s="1" t="s">
        <v>63</v>
      </c>
      <c r="O28" s="27">
        <f t="shared" ref="O28" si="48">O8/O4</f>
        <v>8.5733447649837827E-2</v>
      </c>
      <c r="P28" s="27">
        <f t="shared" ref="P28" si="49">P8/P4</f>
        <v>8.4134761751952072E-2</v>
      </c>
      <c r="Q28" s="27">
        <f t="shared" ref="Q28:R28" si="50">Q8/Q4</f>
        <v>7.9148076342942617E-2</v>
      </c>
      <c r="R28" s="27">
        <f t="shared" si="50"/>
        <v>7.5884570869648157E-2</v>
      </c>
      <c r="S28" s="27">
        <f t="shared" ref="S28" si="51">S8/S4</f>
        <v>8.7274645872553722E-2</v>
      </c>
      <c r="T28" s="27">
        <f t="shared" ref="T28" si="52">T8/T4</f>
        <v>0.12775665557620919</v>
      </c>
      <c r="U28" s="27">
        <f t="shared" ref="U28" si="53">U8/U4</f>
        <v>0.13053712818317997</v>
      </c>
      <c r="V28" s="27">
        <f>V8/V4</f>
        <v>0.1075657234597632</v>
      </c>
      <c r="W28" s="75">
        <f>W8/W4</f>
        <v>0.11143569618183302</v>
      </c>
      <c r="X28" s="108">
        <f t="shared" ref="X28:AE28" si="54">X8/X4</f>
        <v>2.1499184182742999E-2</v>
      </c>
      <c r="Y28" s="108">
        <f t="shared" si="54"/>
        <v>3.2732066247249017E-2</v>
      </c>
      <c r="Z28" s="108">
        <f t="shared" si="54"/>
        <v>4.1718371898853836E-2</v>
      </c>
      <c r="AA28" s="108">
        <f t="shared" si="54"/>
        <v>4.8269136766378826E-2</v>
      </c>
      <c r="AB28" s="108">
        <f t="shared" si="54"/>
        <v>5.043192897660935E-2</v>
      </c>
      <c r="AC28" s="108">
        <f t="shared" si="54"/>
        <v>5.2574123165790076E-2</v>
      </c>
      <c r="AD28" s="108">
        <f t="shared" si="54"/>
        <v>5.4695915505549905E-2</v>
      </c>
      <c r="AE28" s="108">
        <f t="shared" si="54"/>
        <v>5.6797500299216847E-2</v>
      </c>
      <c r="AG28" s="116" t="s">
        <v>147</v>
      </c>
      <c r="AH28" s="119">
        <v>0.08</v>
      </c>
    </row>
    <row r="29" spans="2:34" x14ac:dyDescent="0.2">
      <c r="B29" s="1" t="s">
        <v>64</v>
      </c>
      <c r="O29" s="27">
        <f t="shared" ref="O29" si="55">O16/O4</f>
        <v>6.1357500300940733E-2</v>
      </c>
      <c r="P29" s="27">
        <f t="shared" ref="P29" si="56">P16/P4</f>
        <v>5.8006055968337737E-2</v>
      </c>
      <c r="Q29" s="27">
        <f t="shared" ref="Q29:R29" si="57">Q16/Q4</f>
        <v>6.1205649742128443E-2</v>
      </c>
      <c r="R29" s="27">
        <f t="shared" si="57"/>
        <v>5.7984479225079918E-2</v>
      </c>
      <c r="S29" s="27">
        <f t="shared" ref="S29" si="58">S16/S4</f>
        <v>5.1077165784642366E-2</v>
      </c>
      <c r="T29" s="27">
        <f t="shared" ref="T29" si="59">T16/T4</f>
        <v>8.9161863405134975E-2</v>
      </c>
      <c r="U29" s="27">
        <f t="shared" ref="U29" si="60">U16/U4</f>
        <v>9.030601326770811E-2</v>
      </c>
      <c r="V29" s="27">
        <f>V16/V4</f>
        <v>6.9837447320891033E-2</v>
      </c>
      <c r="W29" s="75">
        <f>W16/W4</f>
        <v>7.2571260805256388E-2</v>
      </c>
      <c r="X29" s="27">
        <f t="shared" ref="X29:AE29" si="61">X16/X4</f>
        <v>7.1952263960090565E-2</v>
      </c>
      <c r="Y29" s="27">
        <f t="shared" si="61"/>
        <v>6.9590300445429146E-2</v>
      </c>
      <c r="Z29" s="27">
        <f t="shared" si="61"/>
        <v>7.0293606002031633E-2</v>
      </c>
      <c r="AA29" s="27">
        <f t="shared" si="61"/>
        <v>7.1874628929633366E-2</v>
      </c>
      <c r="AB29" s="27">
        <f t="shared" si="61"/>
        <v>7.4601739775177145E-2</v>
      </c>
      <c r="AC29" s="27">
        <f t="shared" si="61"/>
        <v>7.7413424673802536E-2</v>
      </c>
      <c r="AD29" s="27">
        <f t="shared" si="61"/>
        <v>8.0281434533127194E-2</v>
      </c>
      <c r="AE29" s="27">
        <f t="shared" si="61"/>
        <v>8.3221188036457616E-2</v>
      </c>
      <c r="AG29" s="116" t="s">
        <v>148</v>
      </c>
      <c r="AH29" s="120">
        <f>NPV(AH28,W16:DR16)</f>
        <v>9025.0227381820041</v>
      </c>
    </row>
    <row r="30" spans="2:34" x14ac:dyDescent="0.2">
      <c r="B30" s="1" t="s">
        <v>65</v>
      </c>
      <c r="O30" s="27">
        <f t="shared" ref="O30" si="62">O15/O14</f>
        <v>0.18711147274206652</v>
      </c>
      <c r="P30" s="27">
        <f t="shared" ref="P30" si="63">P15/P14</f>
        <v>0.21617429591167373</v>
      </c>
      <c r="Q30" s="27">
        <f t="shared" ref="Q30:R30" si="64">Q15/Q14</f>
        <v>0.19004420140466105</v>
      </c>
      <c r="R30" s="27">
        <f t="shared" si="64"/>
        <v>0.18771798704534129</v>
      </c>
      <c r="S30" s="27">
        <f t="shared" ref="S30" si="65">S15/S14</f>
        <v>0.22714593509322561</v>
      </c>
      <c r="T30" s="27">
        <f t="shared" ref="T30" si="66">T15/T14</f>
        <v>0.18524509981177636</v>
      </c>
      <c r="U30" s="27">
        <f t="shared" ref="U30" si="67">U15/U14</f>
        <v>0.19619047619047619</v>
      </c>
      <c r="V30" s="27">
        <f>V15/V14</f>
        <v>0.20183486238532111</v>
      </c>
      <c r="W30" s="75">
        <v>0.2</v>
      </c>
      <c r="X30" s="108">
        <f>W30</f>
        <v>0.2</v>
      </c>
      <c r="Y30" s="108">
        <f t="shared" ref="Y30:AD30" si="68">X30</f>
        <v>0.2</v>
      </c>
      <c r="Z30" s="108">
        <f t="shared" si="68"/>
        <v>0.2</v>
      </c>
      <c r="AA30" s="108">
        <f t="shared" si="68"/>
        <v>0.2</v>
      </c>
      <c r="AB30" s="108">
        <f t="shared" si="68"/>
        <v>0.2</v>
      </c>
      <c r="AC30" s="108">
        <f t="shared" si="68"/>
        <v>0.2</v>
      </c>
      <c r="AD30" s="108">
        <f t="shared" si="68"/>
        <v>0.2</v>
      </c>
      <c r="AE30" s="108">
        <f t="shared" ref="AE30" si="69">AD30</f>
        <v>0.2</v>
      </c>
      <c r="AG30" s="116" t="s">
        <v>7</v>
      </c>
      <c r="AH30" s="6">
        <f>Main!C11</f>
        <v>-716</v>
      </c>
    </row>
    <row r="31" spans="2:34" x14ac:dyDescent="0.2">
      <c r="AG31" s="116" t="s">
        <v>149</v>
      </c>
      <c r="AH31" s="120">
        <f>AH29-AH30</f>
        <v>9741.0227381820041</v>
      </c>
    </row>
    <row r="32" spans="2:34" x14ac:dyDescent="0.2">
      <c r="AG32" s="3" t="s">
        <v>150</v>
      </c>
      <c r="AH32" s="121">
        <f>AH31/Main!C7</f>
        <v>9.7255299689414816</v>
      </c>
    </row>
    <row r="33" spans="2:34" x14ac:dyDescent="0.2">
      <c r="B33" s="29" t="s">
        <v>38</v>
      </c>
      <c r="AG33" s="116" t="s">
        <v>151</v>
      </c>
      <c r="AH33" s="122">
        <f>Main!C6</f>
        <v>5.7348999999999997</v>
      </c>
    </row>
    <row r="34" spans="2:34" s="22" customFormat="1" x14ac:dyDescent="0.2">
      <c r="B34" s="22" t="s">
        <v>39</v>
      </c>
      <c r="D34" s="55"/>
      <c r="F34" s="55"/>
      <c r="H34" s="55"/>
      <c r="J34" s="55"/>
      <c r="L34" s="55"/>
      <c r="O34" s="22">
        <f t="shared" ref="O34:S34" si="70">+O35+O38+O40</f>
        <v>555</v>
      </c>
      <c r="P34" s="22">
        <f t="shared" si="70"/>
        <v>648</v>
      </c>
      <c r="Q34" s="22">
        <f t="shared" si="70"/>
        <v>927</v>
      </c>
      <c r="R34" s="22">
        <f t="shared" si="70"/>
        <v>1093</v>
      </c>
      <c r="S34" s="22">
        <f t="shared" si="70"/>
        <v>1050</v>
      </c>
      <c r="T34" s="22">
        <f>+T35+T38+T40</f>
        <v>1091</v>
      </c>
      <c r="U34" s="22">
        <f t="shared" ref="U34" si="71">+U35+U38+U40</f>
        <v>1119</v>
      </c>
      <c r="V34" s="22">
        <f>+V35+V38+V40</f>
        <v>1140</v>
      </c>
      <c r="W34" s="69"/>
      <c r="X34" s="103"/>
      <c r="Y34" s="103"/>
      <c r="Z34" s="103"/>
      <c r="AA34" s="103"/>
      <c r="AB34" s="103"/>
      <c r="AC34" s="103"/>
      <c r="AD34" s="103"/>
      <c r="AE34" s="103"/>
      <c r="AG34" s="117" t="s">
        <v>152</v>
      </c>
      <c r="AH34" s="123">
        <f>AH32/AH33-1</f>
        <v>0.69584996581308856</v>
      </c>
    </row>
    <row r="35" spans="2:34" s="23" customFormat="1" x14ac:dyDescent="0.2">
      <c r="B35" s="33" t="s">
        <v>25</v>
      </c>
      <c r="D35" s="56"/>
      <c r="F35" s="56"/>
      <c r="H35" s="56"/>
      <c r="J35" s="56"/>
      <c r="L35" s="56"/>
      <c r="O35" s="23">
        <f t="shared" ref="O35:U35" si="72">SUM(O36:O37)</f>
        <v>499</v>
      </c>
      <c r="P35" s="23">
        <f t="shared" si="72"/>
        <v>573</v>
      </c>
      <c r="Q35" s="23">
        <f t="shared" si="72"/>
        <v>576</v>
      </c>
      <c r="R35" s="23">
        <f t="shared" si="72"/>
        <v>716</v>
      </c>
      <c r="S35" s="23">
        <f t="shared" si="72"/>
        <v>757</v>
      </c>
      <c r="T35" s="23">
        <f t="shared" si="72"/>
        <v>785</v>
      </c>
      <c r="U35" s="23">
        <f t="shared" si="72"/>
        <v>808</v>
      </c>
      <c r="V35" s="23">
        <f>SUM(V36:V37)</f>
        <v>821</v>
      </c>
      <c r="W35" s="39"/>
      <c r="X35" s="35"/>
      <c r="Y35" s="35"/>
      <c r="Z35" s="35"/>
      <c r="AA35" s="35"/>
      <c r="AB35" s="35"/>
      <c r="AC35" s="35"/>
      <c r="AD35" s="35"/>
      <c r="AE35" s="35"/>
    </row>
    <row r="36" spans="2:34" s="23" customFormat="1" x14ac:dyDescent="0.2">
      <c r="B36" s="34" t="s">
        <v>74</v>
      </c>
      <c r="D36" s="56"/>
      <c r="F36" s="56"/>
      <c r="H36" s="56"/>
      <c r="J36" s="56"/>
      <c r="L36" s="56"/>
      <c r="O36" s="23">
        <v>499</v>
      </c>
      <c r="P36" s="23">
        <v>573</v>
      </c>
      <c r="Q36" s="23">
        <v>576</v>
      </c>
      <c r="R36" s="23">
        <v>620</v>
      </c>
      <c r="S36" s="23">
        <v>656</v>
      </c>
      <c r="T36" s="23">
        <v>681</v>
      </c>
      <c r="U36" s="23">
        <v>701</v>
      </c>
      <c r="V36" s="23">
        <v>707</v>
      </c>
      <c r="W36" s="39"/>
      <c r="X36" s="35"/>
      <c r="Y36" s="35"/>
      <c r="Z36" s="35"/>
      <c r="AA36" s="35"/>
      <c r="AB36" s="35"/>
      <c r="AC36" s="35"/>
      <c r="AD36" s="35"/>
      <c r="AE36" s="35"/>
    </row>
    <row r="37" spans="2:34" s="23" customFormat="1" x14ac:dyDescent="0.2">
      <c r="B37" s="34" t="s">
        <v>75</v>
      </c>
      <c r="D37" s="56"/>
      <c r="F37" s="56"/>
      <c r="H37" s="56"/>
      <c r="J37" s="56"/>
      <c r="L37" s="56"/>
      <c r="O37" s="23">
        <v>0</v>
      </c>
      <c r="P37" s="23">
        <v>0</v>
      </c>
      <c r="Q37" s="23">
        <v>0</v>
      </c>
      <c r="R37" s="23">
        <v>96</v>
      </c>
      <c r="S37" s="23">
        <v>101</v>
      </c>
      <c r="T37" s="23">
        <v>104</v>
      </c>
      <c r="U37" s="23">
        <v>107</v>
      </c>
      <c r="V37" s="23">
        <v>114</v>
      </c>
      <c r="W37" s="39"/>
      <c r="X37" s="35"/>
      <c r="Y37" s="35"/>
      <c r="Z37" s="35"/>
      <c r="AA37" s="35"/>
      <c r="AB37" s="35"/>
      <c r="AC37" s="35"/>
      <c r="AD37" s="35"/>
      <c r="AE37" s="35"/>
    </row>
    <row r="38" spans="2:34" s="23" customFormat="1" x14ac:dyDescent="0.2">
      <c r="B38" s="33" t="s">
        <v>26</v>
      </c>
      <c r="D38" s="56"/>
      <c r="F38" s="56"/>
      <c r="H38" s="56"/>
      <c r="J38" s="56"/>
      <c r="L38" s="56"/>
      <c r="O38" s="23">
        <f t="shared" ref="O38:U38" si="73">+O39</f>
        <v>0</v>
      </c>
      <c r="P38" s="23">
        <f t="shared" si="73"/>
        <v>0</v>
      </c>
      <c r="Q38" s="23">
        <f t="shared" si="73"/>
        <v>265</v>
      </c>
      <c r="R38" s="23">
        <f t="shared" si="73"/>
        <v>281</v>
      </c>
      <c r="S38" s="23">
        <f t="shared" si="73"/>
        <v>293</v>
      </c>
      <c r="T38" s="23">
        <f t="shared" si="73"/>
        <v>306</v>
      </c>
      <c r="U38" s="23">
        <f t="shared" si="73"/>
        <v>311</v>
      </c>
      <c r="V38" s="23">
        <f>+V39</f>
        <v>319</v>
      </c>
      <c r="W38" s="39"/>
      <c r="X38" s="35"/>
      <c r="Y38" s="35"/>
      <c r="Z38" s="35"/>
      <c r="AA38" s="35"/>
      <c r="AB38" s="35"/>
      <c r="AC38" s="35"/>
      <c r="AD38" s="35"/>
      <c r="AE38" s="35"/>
    </row>
    <row r="39" spans="2:34" s="23" customFormat="1" x14ac:dyDescent="0.2">
      <c r="B39" s="34" t="s">
        <v>74</v>
      </c>
      <c r="D39" s="56"/>
      <c r="F39" s="56"/>
      <c r="H39" s="56"/>
      <c r="J39" s="56"/>
      <c r="L39" s="56"/>
      <c r="O39" s="23">
        <v>0</v>
      </c>
      <c r="P39" s="23">
        <v>0</v>
      </c>
      <c r="Q39" s="23">
        <v>265</v>
      </c>
      <c r="R39" s="23">
        <v>281</v>
      </c>
      <c r="S39" s="23">
        <v>293</v>
      </c>
      <c r="T39" s="23">
        <v>306</v>
      </c>
      <c r="U39" s="23">
        <v>311</v>
      </c>
      <c r="V39" s="23">
        <v>319</v>
      </c>
      <c r="W39" s="39"/>
      <c r="X39" s="35"/>
      <c r="Y39" s="35"/>
      <c r="Z39" s="35"/>
      <c r="AA39" s="35"/>
      <c r="AB39" s="35"/>
      <c r="AC39" s="35"/>
      <c r="AD39" s="35"/>
      <c r="AE39" s="35"/>
    </row>
    <row r="40" spans="2:34" s="23" customFormat="1" x14ac:dyDescent="0.2">
      <c r="B40" s="33" t="s">
        <v>132</v>
      </c>
      <c r="D40" s="56"/>
      <c r="F40" s="56"/>
      <c r="H40" s="56"/>
      <c r="J40" s="56"/>
      <c r="L40" s="56"/>
      <c r="O40" s="23">
        <f t="shared" ref="O40:R40" si="74">O41</f>
        <v>56</v>
      </c>
      <c r="P40" s="23">
        <f t="shared" si="74"/>
        <v>75</v>
      </c>
      <c r="Q40" s="23">
        <f t="shared" si="74"/>
        <v>86</v>
      </c>
      <c r="R40" s="23">
        <f t="shared" si="74"/>
        <v>96</v>
      </c>
      <c r="S40" s="23">
        <f>S41</f>
        <v>0</v>
      </c>
      <c r="T40" s="23">
        <f t="shared" ref="T40:V40" si="75">T41</f>
        <v>0</v>
      </c>
      <c r="U40" s="23">
        <f t="shared" si="75"/>
        <v>0</v>
      </c>
      <c r="V40" s="23">
        <f t="shared" si="75"/>
        <v>0</v>
      </c>
      <c r="W40" s="39"/>
      <c r="X40" s="35"/>
      <c r="Y40" s="35"/>
      <c r="Z40" s="35"/>
      <c r="AA40" s="35"/>
      <c r="AB40" s="35"/>
      <c r="AC40" s="35"/>
      <c r="AD40" s="35"/>
      <c r="AE40" s="35"/>
    </row>
    <row r="41" spans="2:34" s="23" customFormat="1" x14ac:dyDescent="0.2">
      <c r="B41" s="34" t="s">
        <v>133</v>
      </c>
      <c r="D41" s="56"/>
      <c r="F41" s="56"/>
      <c r="H41" s="56"/>
      <c r="J41" s="56"/>
      <c r="L41" s="56"/>
      <c r="O41" s="23">
        <v>56</v>
      </c>
      <c r="P41" s="23">
        <v>75</v>
      </c>
      <c r="Q41" s="23">
        <v>86</v>
      </c>
      <c r="R41" s="23">
        <v>96</v>
      </c>
      <c r="S41" s="23">
        <v>0</v>
      </c>
      <c r="T41" s="23">
        <v>0</v>
      </c>
      <c r="U41" s="23">
        <v>0</v>
      </c>
      <c r="V41" s="23">
        <v>0</v>
      </c>
      <c r="W41" s="39"/>
      <c r="X41" s="35"/>
      <c r="Y41" s="35"/>
      <c r="Z41" s="35"/>
      <c r="AA41" s="35"/>
      <c r="AB41" s="108"/>
      <c r="AC41" s="108"/>
      <c r="AD41" s="108"/>
      <c r="AE41" s="108"/>
      <c r="AF41" s="108"/>
      <c r="AG41" s="108"/>
      <c r="AH41" s="108"/>
    </row>
    <row r="42" spans="2:34" s="46" customFormat="1" x14ac:dyDescent="0.2">
      <c r="B42" s="45" t="s">
        <v>77</v>
      </c>
      <c r="D42" s="57"/>
      <c r="F42" s="57"/>
      <c r="H42" s="57"/>
      <c r="J42" s="57"/>
      <c r="L42" s="57"/>
      <c r="O42" s="79" t="s">
        <v>73</v>
      </c>
      <c r="P42" s="46">
        <f>P34-O34</f>
        <v>93</v>
      </c>
      <c r="Q42" s="46">
        <f>Q34-P34</f>
        <v>279</v>
      </c>
      <c r="R42" s="46">
        <f>R34-Q34</f>
        <v>166</v>
      </c>
      <c r="S42" s="46">
        <f>S34-R34</f>
        <v>-43</v>
      </c>
      <c r="T42" s="46">
        <f>T34-S34</f>
        <v>41</v>
      </c>
      <c r="U42" s="46">
        <f t="shared" ref="U42:V42" si="76">U34-T34</f>
        <v>28</v>
      </c>
      <c r="V42" s="46">
        <f t="shared" si="76"/>
        <v>21</v>
      </c>
      <c r="W42" s="70"/>
      <c r="X42" s="110"/>
      <c r="Y42" s="110"/>
      <c r="Z42" s="110"/>
      <c r="AA42" s="110"/>
      <c r="AB42" s="110"/>
      <c r="AC42" s="110"/>
      <c r="AD42" s="110"/>
      <c r="AE42" s="110"/>
    </row>
    <row r="43" spans="2:34" s="98" customFormat="1" x14ac:dyDescent="0.2">
      <c r="B43" s="98" t="s">
        <v>145</v>
      </c>
      <c r="D43" s="99"/>
      <c r="F43" s="99"/>
      <c r="H43" s="99"/>
      <c r="J43" s="99"/>
      <c r="L43" s="99"/>
      <c r="O43" s="98">
        <f t="shared" ref="O43:V43" si="77">O4/O34</f>
        <v>3.6671801801801802</v>
      </c>
      <c r="P43" s="98">
        <f t="shared" si="77"/>
        <v>3.7510185185185181</v>
      </c>
      <c r="Q43" s="98">
        <f t="shared" si="77"/>
        <v>3.2683948220064725</v>
      </c>
      <c r="R43" s="98">
        <f t="shared" si="77"/>
        <v>3.1896569075937786</v>
      </c>
      <c r="S43" s="98">
        <f t="shared" si="77"/>
        <v>3.6317971428571432</v>
      </c>
      <c r="T43" s="98">
        <f t="shared" si="77"/>
        <v>4.4009395050412463</v>
      </c>
      <c r="U43" s="98">
        <f t="shared" si="77"/>
        <v>4.1760500446827526</v>
      </c>
      <c r="V43" s="98">
        <f>V4/V34</f>
        <v>4.3710526315789471</v>
      </c>
      <c r="W43" s="100"/>
      <c r="X43" s="111"/>
      <c r="Y43" s="111"/>
      <c r="Z43" s="111"/>
      <c r="AA43" s="111"/>
      <c r="AB43" s="111"/>
      <c r="AC43" s="111"/>
      <c r="AD43" s="111"/>
      <c r="AE43" s="111"/>
    </row>
    <row r="44" spans="2:34" s="22" customFormat="1" x14ac:dyDescent="0.2">
      <c r="B44" s="23"/>
      <c r="D44" s="55"/>
      <c r="F44" s="55"/>
      <c r="H44" s="55"/>
      <c r="J44" s="55"/>
      <c r="L44" s="55"/>
      <c r="W44" s="69"/>
      <c r="X44" s="103"/>
      <c r="Y44" s="103"/>
      <c r="Z44" s="103"/>
      <c r="AA44" s="103"/>
      <c r="AB44" s="103"/>
      <c r="AC44" s="103"/>
      <c r="AD44" s="103"/>
      <c r="AE44" s="103"/>
    </row>
    <row r="45" spans="2:34" s="22" customFormat="1" x14ac:dyDescent="0.2">
      <c r="B45" s="23"/>
      <c r="D45" s="55"/>
      <c r="F45" s="55"/>
      <c r="H45" s="55"/>
      <c r="J45" s="55"/>
      <c r="L45" s="55"/>
      <c r="W45" s="69"/>
      <c r="X45" s="103"/>
      <c r="Y45" s="103"/>
      <c r="Z45" s="103"/>
      <c r="AA45" s="103"/>
      <c r="AB45" s="103"/>
      <c r="AC45" s="103"/>
      <c r="AD45" s="103"/>
      <c r="AE45" s="103"/>
    </row>
    <row r="46" spans="2:34" s="22" customFormat="1" x14ac:dyDescent="0.2">
      <c r="B46" s="22" t="s">
        <v>40</v>
      </c>
      <c r="D46" s="55"/>
      <c r="F46" s="55"/>
      <c r="H46" s="55"/>
      <c r="J46" s="55"/>
      <c r="L46" s="55"/>
      <c r="O46" s="22">
        <v>22351</v>
      </c>
      <c r="P46" s="22">
        <f t="shared" ref="P46:U46" si="78">P47+P50</f>
        <v>24500</v>
      </c>
      <c r="Q46" s="22">
        <f t="shared" si="78"/>
        <v>0</v>
      </c>
      <c r="R46" s="22">
        <f t="shared" si="78"/>
        <v>0</v>
      </c>
      <c r="S46" s="22">
        <f t="shared" si="78"/>
        <v>0</v>
      </c>
      <c r="T46" s="22">
        <f t="shared" si="78"/>
        <v>0</v>
      </c>
      <c r="U46" s="22">
        <f t="shared" si="78"/>
        <v>0</v>
      </c>
      <c r="V46" s="22">
        <f>V47+V50</f>
        <v>39484</v>
      </c>
      <c r="W46" s="69"/>
      <c r="X46" s="103"/>
      <c r="Y46" s="103"/>
      <c r="Z46" s="103"/>
      <c r="AA46" s="103"/>
      <c r="AB46" s="103"/>
      <c r="AC46" s="103"/>
      <c r="AD46" s="103"/>
      <c r="AE46" s="103"/>
    </row>
    <row r="47" spans="2:34" s="23" customFormat="1" x14ac:dyDescent="0.2">
      <c r="B47" s="33" t="s">
        <v>25</v>
      </c>
      <c r="D47" s="56"/>
      <c r="F47" s="56"/>
      <c r="H47" s="56"/>
      <c r="J47" s="56"/>
      <c r="L47" s="56"/>
      <c r="O47" s="80" t="s">
        <v>73</v>
      </c>
      <c r="P47" s="23">
        <f t="shared" ref="P47:U47" si="79">SUM(P48:P49)</f>
        <v>24500</v>
      </c>
      <c r="Q47" s="23">
        <f t="shared" si="79"/>
        <v>0</v>
      </c>
      <c r="R47" s="23">
        <f t="shared" si="79"/>
        <v>0</v>
      </c>
      <c r="S47" s="23">
        <f t="shared" si="79"/>
        <v>0</v>
      </c>
      <c r="T47" s="23">
        <f t="shared" si="79"/>
        <v>0</v>
      </c>
      <c r="U47" s="23">
        <f t="shared" si="79"/>
        <v>0</v>
      </c>
      <c r="V47" s="23">
        <f>SUM(V48:V49)</f>
        <v>34145</v>
      </c>
      <c r="W47" s="39"/>
      <c r="X47" s="35"/>
      <c r="Y47" s="35"/>
      <c r="Z47" s="35"/>
      <c r="AA47" s="35"/>
      <c r="AB47" s="35"/>
      <c r="AC47" s="35"/>
      <c r="AD47" s="35"/>
      <c r="AE47" s="35"/>
    </row>
    <row r="48" spans="2:34" s="35" customFormat="1" x14ac:dyDescent="0.2">
      <c r="B48" s="34" t="s">
        <v>74</v>
      </c>
      <c r="D48" s="58"/>
      <c r="F48" s="58"/>
      <c r="H48" s="58"/>
      <c r="J48" s="58"/>
      <c r="L48" s="58"/>
      <c r="O48" s="81" t="s">
        <v>73</v>
      </c>
      <c r="P48" s="35">
        <v>24500</v>
      </c>
      <c r="V48" s="35">
        <v>33156</v>
      </c>
      <c r="W48" s="39"/>
    </row>
    <row r="49" spans="2:31" s="35" customFormat="1" x14ac:dyDescent="0.2">
      <c r="B49" s="34" t="s">
        <v>75</v>
      </c>
      <c r="D49" s="58"/>
      <c r="F49" s="58"/>
      <c r="H49" s="58"/>
      <c r="J49" s="58"/>
      <c r="L49" s="58"/>
      <c r="O49" s="81" t="s">
        <v>73</v>
      </c>
      <c r="P49" s="35">
        <v>0</v>
      </c>
      <c r="V49" s="35">
        <v>989</v>
      </c>
      <c r="W49" s="39"/>
    </row>
    <row r="50" spans="2:31" s="23" customFormat="1" x14ac:dyDescent="0.2">
      <c r="B50" s="33" t="s">
        <v>26</v>
      </c>
      <c r="D50" s="56"/>
      <c r="F50" s="56"/>
      <c r="H50" s="56"/>
      <c r="J50" s="56"/>
      <c r="L50" s="56"/>
      <c r="O50" s="80" t="str">
        <f t="shared" ref="O50:U50" si="80">O51</f>
        <v>-</v>
      </c>
      <c r="P50" s="23">
        <f t="shared" si="80"/>
        <v>0</v>
      </c>
      <c r="Q50" s="23">
        <f t="shared" si="80"/>
        <v>0</v>
      </c>
      <c r="R50" s="23">
        <f t="shared" si="80"/>
        <v>0</v>
      </c>
      <c r="S50" s="23">
        <f t="shared" si="80"/>
        <v>0</v>
      </c>
      <c r="T50" s="23">
        <f t="shared" si="80"/>
        <v>0</v>
      </c>
      <c r="U50" s="23">
        <f t="shared" si="80"/>
        <v>0</v>
      </c>
      <c r="V50" s="23">
        <f>V51</f>
        <v>5339</v>
      </c>
      <c r="W50" s="39"/>
      <c r="X50" s="35"/>
      <c r="Y50" s="35"/>
      <c r="Z50" s="35"/>
      <c r="AA50" s="35"/>
      <c r="AB50" s="35"/>
      <c r="AC50" s="35"/>
      <c r="AD50" s="35"/>
      <c r="AE50" s="35"/>
    </row>
    <row r="51" spans="2:31" s="23" customFormat="1" x14ac:dyDescent="0.2">
      <c r="B51" s="34" t="s">
        <v>74</v>
      </c>
      <c r="D51" s="56"/>
      <c r="F51" s="56"/>
      <c r="H51" s="56"/>
      <c r="J51" s="56"/>
      <c r="L51" s="56"/>
      <c r="O51" s="80" t="s">
        <v>73</v>
      </c>
      <c r="P51" s="23">
        <v>0</v>
      </c>
      <c r="V51" s="23">
        <v>5339</v>
      </c>
      <c r="W51" s="39"/>
      <c r="X51" s="35"/>
      <c r="Y51" s="35"/>
      <c r="Z51" s="35"/>
      <c r="AA51" s="35"/>
      <c r="AB51" s="35"/>
      <c r="AC51" s="35"/>
      <c r="AD51" s="35"/>
      <c r="AE51" s="35"/>
    </row>
    <row r="52" spans="2:31" s="23" customFormat="1" x14ac:dyDescent="0.2">
      <c r="B52" s="33" t="s">
        <v>132</v>
      </c>
      <c r="D52" s="56"/>
      <c r="F52" s="56"/>
      <c r="H52" s="56"/>
      <c r="J52" s="56"/>
      <c r="L52" s="56"/>
      <c r="O52" s="80" t="s">
        <v>73</v>
      </c>
      <c r="P52" s="23">
        <f>P53</f>
        <v>1500</v>
      </c>
      <c r="W52" s="39"/>
      <c r="X52" s="35"/>
      <c r="Y52" s="35"/>
      <c r="Z52" s="35"/>
      <c r="AA52" s="35"/>
      <c r="AB52" s="35"/>
      <c r="AC52" s="35"/>
      <c r="AD52" s="35"/>
      <c r="AE52" s="35"/>
    </row>
    <row r="53" spans="2:31" s="35" customFormat="1" x14ac:dyDescent="0.2">
      <c r="B53" s="34" t="s">
        <v>133</v>
      </c>
      <c r="D53" s="58"/>
      <c r="F53" s="58"/>
      <c r="H53" s="58"/>
      <c r="J53" s="58"/>
      <c r="L53" s="58"/>
      <c r="O53" s="81" t="s">
        <v>73</v>
      </c>
      <c r="P53" s="35">
        <v>1500</v>
      </c>
      <c r="W53" s="39"/>
    </row>
    <row r="54" spans="2:31" s="45" customFormat="1" x14ac:dyDescent="0.2">
      <c r="B54" s="45" t="s">
        <v>76</v>
      </c>
      <c r="D54" s="59"/>
      <c r="F54" s="59"/>
      <c r="H54" s="59"/>
      <c r="J54" s="59"/>
      <c r="L54" s="59"/>
      <c r="O54" s="82" t="s">
        <v>73</v>
      </c>
      <c r="P54" s="46">
        <f>P46-O46</f>
        <v>2149</v>
      </c>
      <c r="Q54" s="46">
        <f t="shared" ref="Q54:V54" si="81">Q46-P46</f>
        <v>-24500</v>
      </c>
      <c r="R54" s="46">
        <f t="shared" si="81"/>
        <v>0</v>
      </c>
      <c r="S54" s="46">
        <f t="shared" si="81"/>
        <v>0</v>
      </c>
      <c r="T54" s="46">
        <f t="shared" si="81"/>
        <v>0</v>
      </c>
      <c r="U54" s="46">
        <f t="shared" si="81"/>
        <v>0</v>
      </c>
      <c r="V54" s="46">
        <f t="shared" si="81"/>
        <v>39484</v>
      </c>
      <c r="W54" s="71"/>
      <c r="X54" s="112"/>
      <c r="Y54" s="112"/>
      <c r="Z54" s="112"/>
      <c r="AA54" s="112"/>
      <c r="AB54" s="112"/>
      <c r="AC54" s="112"/>
      <c r="AD54" s="112"/>
      <c r="AE54" s="112"/>
    </row>
    <row r="58" spans="2:31" x14ac:dyDescent="0.2">
      <c r="B58" s="29" t="s">
        <v>78</v>
      </c>
    </row>
    <row r="59" spans="2:31" s="23" customFormat="1" x14ac:dyDescent="0.2">
      <c r="B59" s="23" t="s">
        <v>79</v>
      </c>
      <c r="D59" s="56"/>
      <c r="F59" s="56"/>
      <c r="H59" s="56"/>
      <c r="J59" s="56"/>
      <c r="L59" s="56"/>
      <c r="O59" s="23">
        <f>837.45+101.174</f>
        <v>938.62400000000002</v>
      </c>
      <c r="P59" s="23">
        <f>841.691+103.693</f>
        <v>945.38400000000001</v>
      </c>
      <c r="Q59" s="23">
        <f>929.718+120.962</f>
        <v>1050.68</v>
      </c>
      <c r="R59" s="23">
        <f>949.606+126.559</f>
        <v>1076.165</v>
      </c>
      <c r="S59" s="23">
        <f>921.911+119.696</f>
        <v>1041.607</v>
      </c>
      <c r="T59" s="23">
        <f>920.729+118.24</f>
        <v>1038.9690000000001</v>
      </c>
      <c r="U59" s="23">
        <f>920+120</f>
        <v>1040</v>
      </c>
      <c r="V59" s="23">
        <f>921+120</f>
        <v>1041</v>
      </c>
      <c r="W59" s="39"/>
      <c r="X59" s="35"/>
      <c r="Y59" s="35"/>
      <c r="Z59" s="35"/>
      <c r="AA59" s="35"/>
      <c r="AB59" s="35"/>
      <c r="AC59" s="35"/>
      <c r="AD59" s="35"/>
      <c r="AE59" s="35"/>
    </row>
    <row r="60" spans="2:31" s="23" customFormat="1" x14ac:dyDescent="0.2">
      <c r="B60" s="23" t="s">
        <v>80</v>
      </c>
      <c r="D60" s="56"/>
      <c r="F60" s="56"/>
      <c r="H60" s="56"/>
      <c r="J60" s="56"/>
      <c r="L60" s="56"/>
      <c r="O60" s="23">
        <v>138.05000000000001</v>
      </c>
      <c r="P60" s="23">
        <v>165.74799999999999</v>
      </c>
      <c r="Q60" s="23">
        <v>308.65300000000002</v>
      </c>
      <c r="R60" s="23">
        <v>389.952</v>
      </c>
      <c r="S60" s="23">
        <v>312.19799999999998</v>
      </c>
      <c r="T60" s="23">
        <v>336.36399999999998</v>
      </c>
      <c r="U60" s="23">
        <v>363</v>
      </c>
      <c r="V60" s="23">
        <v>380</v>
      </c>
      <c r="W60" s="39"/>
      <c r="X60" s="35"/>
      <c r="Y60" s="35"/>
      <c r="Z60" s="35"/>
      <c r="AA60" s="35"/>
      <c r="AB60" s="35"/>
      <c r="AC60" s="35"/>
      <c r="AD60" s="35"/>
      <c r="AE60" s="35"/>
    </row>
    <row r="61" spans="2:31" s="23" customFormat="1" x14ac:dyDescent="0.2">
      <c r="B61" s="23" t="s">
        <v>81</v>
      </c>
      <c r="D61" s="56"/>
      <c r="F61" s="56"/>
      <c r="H61" s="56"/>
      <c r="J61" s="56"/>
      <c r="L61" s="56"/>
      <c r="O61" s="23">
        <v>0</v>
      </c>
      <c r="P61" s="23">
        <v>0</v>
      </c>
      <c r="Q61" s="23">
        <v>0</v>
      </c>
      <c r="R61" s="23">
        <v>0</v>
      </c>
      <c r="S61" s="23">
        <v>1086.6179999999999</v>
      </c>
      <c r="T61" s="23">
        <v>1070.5809999999999</v>
      </c>
      <c r="U61" s="23">
        <v>1066</v>
      </c>
      <c r="V61" s="23">
        <v>1056</v>
      </c>
      <c r="W61" s="39"/>
      <c r="X61" s="35"/>
      <c r="Y61" s="35"/>
      <c r="Z61" s="35"/>
      <c r="AA61" s="35"/>
      <c r="AB61" s="35"/>
      <c r="AC61" s="35"/>
      <c r="AD61" s="35"/>
      <c r="AE61" s="35"/>
    </row>
    <row r="62" spans="2:31" s="23" customFormat="1" x14ac:dyDescent="0.2">
      <c r="B62" s="23" t="s">
        <v>82</v>
      </c>
      <c r="D62" s="56"/>
      <c r="F62" s="56"/>
      <c r="H62" s="56"/>
      <c r="J62" s="56"/>
      <c r="L62" s="56"/>
      <c r="O62" s="23">
        <v>3.9950000000000001</v>
      </c>
      <c r="P62" s="23">
        <v>5.6689999999999996</v>
      </c>
      <c r="Q62" s="23">
        <v>5.14</v>
      </c>
      <c r="R62" s="23">
        <v>6.92</v>
      </c>
      <c r="S62" s="23">
        <v>5.7</v>
      </c>
      <c r="T62" s="23">
        <v>4.4790000000000001</v>
      </c>
      <c r="U62" s="23">
        <v>8</v>
      </c>
      <c r="V62" s="23">
        <v>8</v>
      </c>
      <c r="W62" s="39"/>
      <c r="X62" s="35"/>
      <c r="Y62" s="35"/>
      <c r="Z62" s="35"/>
      <c r="AA62" s="35"/>
      <c r="AB62" s="35"/>
      <c r="AC62" s="35"/>
      <c r="AD62" s="35"/>
      <c r="AE62" s="35"/>
    </row>
    <row r="63" spans="2:31" s="23" customFormat="1" x14ac:dyDescent="0.2">
      <c r="B63" s="23" t="s">
        <v>83</v>
      </c>
      <c r="D63" s="56"/>
      <c r="F63" s="56"/>
      <c r="H63" s="56"/>
      <c r="J63" s="56"/>
      <c r="L63" s="56"/>
      <c r="O63" s="23">
        <v>2.7709999999999999</v>
      </c>
      <c r="P63" s="23">
        <v>2.4129999999999998</v>
      </c>
      <c r="Q63" s="23">
        <v>3.1869999999999998</v>
      </c>
      <c r="R63" s="23">
        <v>10.989000000000001</v>
      </c>
      <c r="S63" s="23">
        <v>7.5170000000000003</v>
      </c>
      <c r="T63" s="23">
        <v>7.0839999999999996</v>
      </c>
      <c r="U63" s="23">
        <v>7</v>
      </c>
      <c r="V63" s="23">
        <v>6</v>
      </c>
      <c r="W63" s="39"/>
      <c r="X63" s="35"/>
      <c r="Y63" s="35"/>
      <c r="Z63" s="35"/>
      <c r="AA63" s="35"/>
      <c r="AB63" s="35"/>
      <c r="AC63" s="35"/>
      <c r="AD63" s="35"/>
      <c r="AE63" s="35"/>
    </row>
    <row r="64" spans="2:31" s="23" customFormat="1" x14ac:dyDescent="0.2">
      <c r="B64" s="23" t="s">
        <v>84</v>
      </c>
      <c r="D64" s="56"/>
      <c r="F64" s="56"/>
      <c r="H64" s="56"/>
      <c r="J64" s="56"/>
      <c r="L64" s="56"/>
      <c r="O64" s="23">
        <v>0.47299999999999998</v>
      </c>
      <c r="P64" s="23">
        <v>0.82399999999999995</v>
      </c>
      <c r="Q64" s="23">
        <v>5.6539999999999999</v>
      </c>
      <c r="R64" s="23">
        <v>9.1950000000000003</v>
      </c>
      <c r="S64" s="23">
        <v>22.988</v>
      </c>
      <c r="T64" s="23">
        <v>32.241999999999997</v>
      </c>
      <c r="U64" s="23">
        <v>31</v>
      </c>
      <c r="V64" s="23">
        <v>30</v>
      </c>
      <c r="W64" s="39"/>
      <c r="X64" s="35"/>
      <c r="Y64" s="35"/>
      <c r="Z64" s="35"/>
      <c r="AA64" s="35"/>
      <c r="AB64" s="35"/>
      <c r="AC64" s="35"/>
      <c r="AD64" s="35"/>
      <c r="AE64" s="35"/>
    </row>
    <row r="65" spans="2:31" s="23" customFormat="1" x14ac:dyDescent="0.2">
      <c r="B65" s="23" t="s">
        <v>85</v>
      </c>
      <c r="D65" s="56"/>
      <c r="F65" s="56"/>
      <c r="H65" s="56"/>
      <c r="J65" s="56"/>
      <c r="L65" s="56"/>
      <c r="O65" s="23">
        <f t="shared" ref="O65:U65" si="82">SUM(O59:O64)</f>
        <v>1083.9129999999998</v>
      </c>
      <c r="P65" s="23">
        <f t="shared" si="82"/>
        <v>1120.0380000000002</v>
      </c>
      <c r="Q65" s="23">
        <f t="shared" si="82"/>
        <v>1373.3140000000001</v>
      </c>
      <c r="R65" s="23">
        <f t="shared" si="82"/>
        <v>1493.221</v>
      </c>
      <c r="S65" s="23">
        <f t="shared" si="82"/>
        <v>2476.6279999999992</v>
      </c>
      <c r="T65" s="23">
        <f t="shared" si="82"/>
        <v>2489.7189999999996</v>
      </c>
      <c r="U65" s="23">
        <f t="shared" si="82"/>
        <v>2515</v>
      </c>
      <c r="V65" s="23">
        <f>SUM(V59:V64)</f>
        <v>2521</v>
      </c>
      <c r="W65" s="39"/>
      <c r="X65" s="35"/>
      <c r="Y65" s="35"/>
      <c r="Z65" s="35"/>
      <c r="AA65" s="35"/>
      <c r="AB65" s="35"/>
      <c r="AC65" s="35"/>
      <c r="AD65" s="35"/>
      <c r="AE65" s="35"/>
    </row>
    <row r="66" spans="2:31" s="22" customFormat="1" x14ac:dyDescent="0.2">
      <c r="B66" s="22" t="s">
        <v>86</v>
      </c>
      <c r="D66" s="55"/>
      <c r="F66" s="55"/>
      <c r="H66" s="55"/>
      <c r="J66" s="55"/>
      <c r="L66" s="55"/>
      <c r="O66" s="22">
        <v>91.147999999999996</v>
      </c>
      <c r="P66" s="22">
        <v>155.511</v>
      </c>
      <c r="Q66" s="22">
        <v>90.816000000000003</v>
      </c>
      <c r="R66" s="22">
        <v>86.201999999999998</v>
      </c>
      <c r="S66" s="22">
        <v>428.20499999999998</v>
      </c>
      <c r="T66" s="22">
        <v>217.68199999999999</v>
      </c>
      <c r="U66" s="22">
        <v>173</v>
      </c>
      <c r="V66" s="22">
        <v>237</v>
      </c>
      <c r="W66" s="69"/>
      <c r="X66" s="103"/>
      <c r="Y66" s="103"/>
      <c r="Z66" s="103"/>
      <c r="AA66" s="103"/>
      <c r="AB66" s="103"/>
      <c r="AC66" s="103"/>
      <c r="AD66" s="103"/>
      <c r="AE66" s="103"/>
    </row>
    <row r="67" spans="2:31" s="22" customFormat="1" x14ac:dyDescent="0.2">
      <c r="B67" s="22" t="s">
        <v>87</v>
      </c>
      <c r="D67" s="55"/>
      <c r="F67" s="55"/>
      <c r="H67" s="55"/>
      <c r="J67" s="55"/>
      <c r="L67" s="55"/>
      <c r="O67" s="22">
        <v>356.31200000000001</v>
      </c>
      <c r="P67" s="22">
        <v>462.11900000000003</v>
      </c>
      <c r="Q67" s="22">
        <v>558.69000000000005</v>
      </c>
      <c r="R67" s="22">
        <v>670.721</v>
      </c>
      <c r="S67" s="22">
        <v>588</v>
      </c>
      <c r="T67" s="22">
        <v>605.12599999999998</v>
      </c>
      <c r="U67" s="22">
        <v>863</v>
      </c>
      <c r="V67" s="22">
        <v>764</v>
      </c>
      <c r="W67" s="69"/>
      <c r="X67" s="103"/>
      <c r="Y67" s="103"/>
      <c r="Z67" s="103"/>
      <c r="AA67" s="103"/>
      <c r="AB67" s="103"/>
      <c r="AC67" s="103"/>
      <c r="AD67" s="103"/>
      <c r="AE67" s="103"/>
    </row>
    <row r="68" spans="2:31" s="23" customFormat="1" x14ac:dyDescent="0.2">
      <c r="B68" s="23" t="s">
        <v>88</v>
      </c>
      <c r="D68" s="56"/>
      <c r="F68" s="56"/>
      <c r="H68" s="56"/>
      <c r="J68" s="56"/>
      <c r="L68" s="56"/>
      <c r="O68" s="23">
        <v>28.760999999999999</v>
      </c>
      <c r="P68" s="23">
        <v>35.398000000000003</v>
      </c>
      <c r="Q68" s="23">
        <v>34.042000000000002</v>
      </c>
      <c r="R68" s="23">
        <v>71.64</v>
      </c>
      <c r="S68" s="23">
        <v>60.588000000000001</v>
      </c>
      <c r="T68" s="23">
        <v>42.16</v>
      </c>
      <c r="U68" s="23">
        <v>53</v>
      </c>
      <c r="V68" s="23">
        <v>52</v>
      </c>
      <c r="W68" s="39"/>
      <c r="X68" s="35"/>
      <c r="Y68" s="35"/>
      <c r="Z68" s="35"/>
      <c r="AA68" s="35"/>
      <c r="AB68" s="35"/>
      <c r="AC68" s="35"/>
      <c r="AD68" s="35"/>
      <c r="AE68" s="35"/>
    </row>
    <row r="69" spans="2:31" s="23" customFormat="1" x14ac:dyDescent="0.2">
      <c r="B69" s="23" t="s">
        <v>107</v>
      </c>
      <c r="D69" s="56"/>
      <c r="F69" s="56"/>
      <c r="H69" s="56"/>
      <c r="J69" s="56"/>
      <c r="L69" s="56"/>
      <c r="O69" s="23">
        <v>0</v>
      </c>
      <c r="P69" s="23">
        <v>0</v>
      </c>
      <c r="Q69" s="23">
        <v>0</v>
      </c>
      <c r="R69" s="23">
        <v>6.2939999999999996</v>
      </c>
      <c r="S69" s="23">
        <v>0</v>
      </c>
      <c r="T69" s="23">
        <v>0</v>
      </c>
      <c r="U69" s="23">
        <v>9</v>
      </c>
      <c r="V69" s="23">
        <v>12</v>
      </c>
      <c r="W69" s="39"/>
      <c r="X69" s="35"/>
      <c r="Y69" s="35"/>
      <c r="Z69" s="35"/>
      <c r="AA69" s="35"/>
      <c r="AB69" s="35"/>
      <c r="AC69" s="35"/>
      <c r="AD69" s="35"/>
      <c r="AE69" s="35"/>
    </row>
    <row r="70" spans="2:31" s="22" customFormat="1" x14ac:dyDescent="0.2">
      <c r="B70" s="22" t="s">
        <v>89</v>
      </c>
      <c r="D70" s="55"/>
      <c r="F70" s="55"/>
      <c r="H70" s="55"/>
      <c r="J70" s="55"/>
      <c r="L70" s="55"/>
      <c r="O70" s="22">
        <v>4.7690000000000001</v>
      </c>
      <c r="P70" s="22">
        <v>0.41</v>
      </c>
      <c r="Q70" s="22">
        <v>0</v>
      </c>
      <c r="R70" s="22">
        <v>3.7810000000000001</v>
      </c>
      <c r="S70" s="22">
        <v>16.702000000000002</v>
      </c>
      <c r="T70" s="22">
        <v>3.7669999999999999</v>
      </c>
      <c r="U70" s="22">
        <v>25</v>
      </c>
      <c r="V70" s="22">
        <v>1</v>
      </c>
      <c r="W70" s="69"/>
      <c r="X70" s="103"/>
      <c r="Y70" s="103"/>
      <c r="Z70" s="103"/>
      <c r="AA70" s="103"/>
      <c r="AB70" s="103"/>
      <c r="AC70" s="103"/>
      <c r="AD70" s="103"/>
      <c r="AE70" s="103"/>
    </row>
    <row r="71" spans="2:31" s="23" customFormat="1" x14ac:dyDescent="0.2">
      <c r="B71" s="23" t="s">
        <v>90</v>
      </c>
      <c r="D71" s="56"/>
      <c r="F71" s="56"/>
      <c r="H71" s="56"/>
      <c r="J71" s="56"/>
      <c r="L71" s="56"/>
      <c r="O71" s="23">
        <f t="shared" ref="O71:U71" si="83">SUM(O65:O70)</f>
        <v>1564.9029999999996</v>
      </c>
      <c r="P71" s="23">
        <f t="shared" si="83"/>
        <v>1773.4760000000001</v>
      </c>
      <c r="Q71" s="23">
        <f t="shared" si="83"/>
        <v>2056.8620000000001</v>
      </c>
      <c r="R71" s="23">
        <f t="shared" si="83"/>
        <v>2331.8589999999999</v>
      </c>
      <c r="S71" s="23">
        <f t="shared" si="83"/>
        <v>3570.1229999999996</v>
      </c>
      <c r="T71" s="23">
        <f t="shared" si="83"/>
        <v>3358.4539999999988</v>
      </c>
      <c r="U71" s="23">
        <f t="shared" si="83"/>
        <v>3638</v>
      </c>
      <c r="V71" s="23">
        <f>SUM(V65:V70)</f>
        <v>3587</v>
      </c>
      <c r="W71" s="39"/>
      <c r="X71" s="35"/>
      <c r="Y71" s="35"/>
      <c r="Z71" s="35"/>
      <c r="AA71" s="35"/>
      <c r="AB71" s="35"/>
      <c r="AC71" s="35"/>
      <c r="AD71" s="35"/>
      <c r="AE71" s="35"/>
    </row>
    <row r="72" spans="2:31" s="23" customFormat="1" x14ac:dyDescent="0.2">
      <c r="D72" s="56"/>
      <c r="F72" s="56"/>
      <c r="H72" s="56"/>
      <c r="J72" s="56"/>
      <c r="L72" s="56"/>
      <c r="W72" s="39"/>
      <c r="X72" s="35"/>
      <c r="Y72" s="35"/>
      <c r="Z72" s="35"/>
      <c r="AA72" s="35"/>
      <c r="AB72" s="35"/>
      <c r="AC72" s="35"/>
      <c r="AD72" s="35"/>
      <c r="AE72" s="35"/>
    </row>
    <row r="73" spans="2:31" s="22" customFormat="1" x14ac:dyDescent="0.2">
      <c r="B73" s="22" t="s">
        <v>91</v>
      </c>
      <c r="D73" s="55"/>
      <c r="F73" s="55"/>
      <c r="H73" s="55"/>
      <c r="J73" s="55"/>
      <c r="L73" s="55"/>
      <c r="O73" s="22">
        <f>435.142+16.041</f>
        <v>451.18299999999999</v>
      </c>
      <c r="P73" s="22">
        <f>17.886+543.725</f>
        <v>561.61099999999999</v>
      </c>
      <c r="Q73" s="22">
        <f>558.426+19.209</f>
        <v>577.63499999999999</v>
      </c>
      <c r="R73" s="22">
        <v>562.94100000000003</v>
      </c>
      <c r="S73" s="22">
        <v>561.41800000000001</v>
      </c>
      <c r="T73" s="22">
        <v>723.73599999999999</v>
      </c>
      <c r="U73" s="22">
        <v>950</v>
      </c>
      <c r="V73" s="22">
        <v>873</v>
      </c>
      <c r="W73" s="69"/>
      <c r="X73" s="103"/>
      <c r="Y73" s="103"/>
      <c r="Z73" s="103"/>
      <c r="AA73" s="103"/>
      <c r="AB73" s="103"/>
      <c r="AC73" s="103"/>
      <c r="AD73" s="103"/>
      <c r="AE73" s="103"/>
    </row>
    <row r="74" spans="2:31" s="23" customFormat="1" x14ac:dyDescent="0.2">
      <c r="B74" s="23" t="s">
        <v>93</v>
      </c>
      <c r="D74" s="56"/>
      <c r="F74" s="56"/>
      <c r="H74" s="56"/>
      <c r="J74" s="56"/>
      <c r="L74" s="56"/>
      <c r="O74" s="23">
        <f>4.252+66.544</f>
        <v>70.795999999999992</v>
      </c>
      <c r="P74" s="23">
        <f>76.961+6.469</f>
        <v>83.429999999999993</v>
      </c>
      <c r="Q74" s="23">
        <f>7.306+87.13</f>
        <v>94.435999999999993</v>
      </c>
      <c r="R74" s="23">
        <f>92.891+7.104</f>
        <v>99.995000000000005</v>
      </c>
      <c r="S74" s="23">
        <f>1146.233+0.171</f>
        <v>1146.404</v>
      </c>
      <c r="T74" s="23">
        <v>1138.634</v>
      </c>
      <c r="U74" s="23">
        <v>1140</v>
      </c>
      <c r="V74" s="23">
        <v>1124</v>
      </c>
      <c r="W74" s="39"/>
      <c r="X74" s="35"/>
      <c r="Y74" s="35"/>
      <c r="Z74" s="35"/>
      <c r="AA74" s="35"/>
      <c r="AB74" s="35"/>
      <c r="AC74" s="35"/>
      <c r="AD74" s="35"/>
      <c r="AE74" s="35"/>
    </row>
    <row r="75" spans="2:31" s="23" customFormat="1" x14ac:dyDescent="0.2">
      <c r="B75" s="23" t="s">
        <v>84</v>
      </c>
      <c r="D75" s="56"/>
      <c r="F75" s="56"/>
      <c r="H75" s="56"/>
      <c r="J75" s="56"/>
      <c r="L75" s="56"/>
      <c r="O75" s="23">
        <v>20.119</v>
      </c>
      <c r="P75" s="23">
        <v>18.844999999999999</v>
      </c>
      <c r="Q75" s="23">
        <v>24.495000000000001</v>
      </c>
      <c r="R75" s="23">
        <v>27.148</v>
      </c>
      <c r="S75" s="23">
        <v>29.007999999999999</v>
      </c>
      <c r="T75" s="23">
        <v>27.475999999999999</v>
      </c>
      <c r="U75" s="23">
        <v>43</v>
      </c>
      <c r="V75" s="23">
        <v>43</v>
      </c>
      <c r="W75" s="39"/>
      <c r="X75" s="35"/>
      <c r="Y75" s="35"/>
      <c r="Z75" s="35"/>
      <c r="AA75" s="35"/>
      <c r="AB75" s="35"/>
      <c r="AC75" s="35"/>
      <c r="AD75" s="35"/>
      <c r="AE75" s="35"/>
    </row>
    <row r="76" spans="2:31" s="23" customFormat="1" x14ac:dyDescent="0.2">
      <c r="B76" s="23" t="s">
        <v>96</v>
      </c>
      <c r="D76" s="56"/>
      <c r="F76" s="56"/>
      <c r="H76" s="56"/>
      <c r="J76" s="56"/>
      <c r="L76" s="56"/>
      <c r="O76" s="23">
        <v>2.0470000000000002</v>
      </c>
      <c r="P76" s="23">
        <v>0.92200000000000004</v>
      </c>
      <c r="Q76" s="23">
        <v>0.379</v>
      </c>
      <c r="R76" s="23">
        <v>0.374</v>
      </c>
      <c r="S76" s="23">
        <v>0.76600000000000001</v>
      </c>
      <c r="T76" s="23">
        <v>4.5110000000000001</v>
      </c>
      <c r="U76" s="23">
        <v>4</v>
      </c>
      <c r="V76" s="23">
        <v>3</v>
      </c>
      <c r="W76" s="39"/>
      <c r="X76" s="35"/>
      <c r="Y76" s="35"/>
      <c r="Z76" s="35"/>
      <c r="AA76" s="35"/>
      <c r="AB76" s="35"/>
      <c r="AC76" s="35"/>
      <c r="AD76" s="35"/>
      <c r="AE76" s="35"/>
    </row>
    <row r="77" spans="2:31" s="23" customFormat="1" x14ac:dyDescent="0.2">
      <c r="B77" s="23" t="s">
        <v>98</v>
      </c>
      <c r="D77" s="56"/>
      <c r="F77" s="56"/>
      <c r="H77" s="56"/>
      <c r="J77" s="56"/>
      <c r="L77" s="56"/>
      <c r="O77" s="23">
        <f t="shared" ref="O77:U77" si="84">SUM(O73:O76)</f>
        <v>544.1450000000001</v>
      </c>
      <c r="P77" s="23">
        <f t="shared" si="84"/>
        <v>664.80799999999999</v>
      </c>
      <c r="Q77" s="23">
        <f t="shared" si="84"/>
        <v>696.94500000000005</v>
      </c>
      <c r="R77" s="23">
        <f t="shared" si="84"/>
        <v>690.45800000000008</v>
      </c>
      <c r="S77" s="23">
        <f t="shared" si="84"/>
        <v>1737.5960000000002</v>
      </c>
      <c r="T77" s="23">
        <f t="shared" si="84"/>
        <v>1894.357</v>
      </c>
      <c r="U77" s="23">
        <f t="shared" si="84"/>
        <v>2137</v>
      </c>
      <c r="V77" s="23">
        <f>SUM(V73:V76)</f>
        <v>2043</v>
      </c>
      <c r="W77" s="39"/>
      <c r="X77" s="35"/>
      <c r="Y77" s="35"/>
      <c r="Z77" s="35"/>
      <c r="AA77" s="35"/>
      <c r="AB77" s="35"/>
      <c r="AC77" s="35"/>
      <c r="AD77" s="35"/>
      <c r="AE77" s="35"/>
    </row>
    <row r="78" spans="2:31" s="22" customFormat="1" x14ac:dyDescent="0.2">
      <c r="B78" s="22" t="s">
        <v>91</v>
      </c>
      <c r="D78" s="55"/>
      <c r="F78" s="55"/>
      <c r="H78" s="55"/>
      <c r="J78" s="55"/>
      <c r="L78" s="55"/>
      <c r="O78" s="22">
        <v>0</v>
      </c>
      <c r="P78" s="22">
        <v>0</v>
      </c>
      <c r="Q78" s="22">
        <f>47.212+6.112</f>
        <v>53.324000000000005</v>
      </c>
      <c r="R78" s="22">
        <f>5.646+124.272</f>
        <v>129.91800000000001</v>
      </c>
      <c r="S78" s="22">
        <f>0.928+211.062</f>
        <v>211.99</v>
      </c>
      <c r="T78" s="22">
        <v>6.875</v>
      </c>
      <c r="U78" s="22">
        <v>6</v>
      </c>
      <c r="V78" s="22">
        <v>81</v>
      </c>
      <c r="W78" s="69"/>
      <c r="X78" s="103"/>
      <c r="Y78" s="103"/>
      <c r="Z78" s="103"/>
      <c r="AA78" s="103"/>
      <c r="AB78" s="103"/>
      <c r="AC78" s="103"/>
      <c r="AD78" s="103"/>
      <c r="AE78" s="103"/>
    </row>
    <row r="79" spans="2:31" s="23" customFormat="1" x14ac:dyDescent="0.2">
      <c r="B79" s="23" t="s">
        <v>92</v>
      </c>
      <c r="D79" s="56"/>
      <c r="F79" s="56"/>
      <c r="H79" s="56"/>
      <c r="J79" s="56"/>
      <c r="L79" s="56"/>
      <c r="O79" s="23">
        <v>189.74299999999999</v>
      </c>
      <c r="P79" s="23">
        <v>267.815</v>
      </c>
      <c r="Q79" s="23">
        <v>336.072</v>
      </c>
      <c r="R79" s="23">
        <v>395.96600000000001</v>
      </c>
      <c r="S79" s="23">
        <v>419.99900000000002</v>
      </c>
      <c r="T79" s="23">
        <v>524.26</v>
      </c>
      <c r="U79" s="23">
        <v>564</v>
      </c>
      <c r="V79" s="23">
        <v>541</v>
      </c>
      <c r="W79" s="39"/>
      <c r="X79" s="35"/>
      <c r="Y79" s="35"/>
      <c r="Z79" s="35"/>
      <c r="AA79" s="35"/>
      <c r="AB79" s="35"/>
      <c r="AC79" s="35"/>
      <c r="AD79" s="35"/>
      <c r="AE79" s="35"/>
    </row>
    <row r="80" spans="2:31" s="23" customFormat="1" x14ac:dyDescent="0.2">
      <c r="B80" s="23" t="s">
        <v>93</v>
      </c>
      <c r="D80" s="56"/>
      <c r="F80" s="56"/>
      <c r="H80" s="56"/>
      <c r="J80" s="56"/>
      <c r="L80" s="56"/>
      <c r="O80" s="23">
        <v>1.119</v>
      </c>
      <c r="P80" s="23">
        <v>0.99399999999999999</v>
      </c>
      <c r="Q80" s="23">
        <v>1.87</v>
      </c>
      <c r="R80" s="23">
        <v>3.63</v>
      </c>
      <c r="S80" s="23">
        <v>149.011</v>
      </c>
      <c r="T80" s="23">
        <v>162.73500000000001</v>
      </c>
      <c r="U80" s="23">
        <v>170</v>
      </c>
      <c r="V80" s="23">
        <v>177</v>
      </c>
      <c r="W80" s="39"/>
      <c r="X80" s="35"/>
      <c r="Y80" s="35"/>
      <c r="Z80" s="35"/>
      <c r="AA80" s="35"/>
      <c r="AB80" s="35"/>
      <c r="AC80" s="35"/>
      <c r="AD80" s="35"/>
      <c r="AE80" s="35"/>
    </row>
    <row r="81" spans="2:31" s="23" customFormat="1" x14ac:dyDescent="0.2">
      <c r="B81" s="23" t="s">
        <v>94</v>
      </c>
      <c r="D81" s="56"/>
      <c r="F81" s="56"/>
      <c r="H81" s="56"/>
      <c r="J81" s="56"/>
      <c r="L81" s="56"/>
      <c r="O81" s="23">
        <v>0.48699999999999999</v>
      </c>
      <c r="P81" s="23">
        <v>2.0699999999999998</v>
      </c>
      <c r="Q81" s="23">
        <v>16.666</v>
      </c>
      <c r="R81" s="23">
        <v>13.731</v>
      </c>
      <c r="S81" s="23">
        <f>150.087+1.847</f>
        <v>151.934</v>
      </c>
      <c r="T81" s="23">
        <v>16.140999999999998</v>
      </c>
      <c r="U81" s="23">
        <v>0</v>
      </c>
      <c r="V81" s="23">
        <v>13</v>
      </c>
      <c r="W81" s="39"/>
      <c r="X81" s="35"/>
      <c r="Y81" s="35"/>
      <c r="Z81" s="35"/>
      <c r="AA81" s="35"/>
      <c r="AB81" s="35"/>
      <c r="AC81" s="35"/>
      <c r="AD81" s="35"/>
      <c r="AE81" s="35"/>
    </row>
    <row r="82" spans="2:31" s="23" customFormat="1" x14ac:dyDescent="0.2">
      <c r="B82" s="23" t="s">
        <v>95</v>
      </c>
      <c r="D82" s="56"/>
      <c r="F82" s="56"/>
      <c r="H82" s="56"/>
      <c r="J82" s="56"/>
      <c r="L82" s="56"/>
      <c r="O82" s="23">
        <v>10.29</v>
      </c>
      <c r="P82" s="23">
        <v>19.338999999999999</v>
      </c>
      <c r="Q82" s="23">
        <v>19.677</v>
      </c>
      <c r="R82" s="23">
        <v>23.196999999999999</v>
      </c>
      <c r="S82" s="23">
        <v>26.114999999999998</v>
      </c>
      <c r="T82" s="23">
        <v>12.510999999999999</v>
      </c>
      <c r="U82" s="23">
        <v>4</v>
      </c>
      <c r="V82" s="23">
        <v>6</v>
      </c>
      <c r="W82" s="39"/>
      <c r="X82" s="35"/>
      <c r="Y82" s="35"/>
      <c r="Z82" s="35"/>
      <c r="AA82" s="35"/>
      <c r="AB82" s="35"/>
      <c r="AC82" s="35"/>
      <c r="AD82" s="35"/>
      <c r="AE82" s="35"/>
    </row>
    <row r="83" spans="2:31" s="23" customFormat="1" x14ac:dyDescent="0.2">
      <c r="B83" s="23" t="s">
        <v>96</v>
      </c>
      <c r="D83" s="56"/>
      <c r="F83" s="56"/>
      <c r="H83" s="56"/>
      <c r="J83" s="56"/>
      <c r="L83" s="56"/>
      <c r="O83" s="23">
        <v>4.7690000000000001</v>
      </c>
      <c r="P83" s="23">
        <v>4.8689999999999998</v>
      </c>
      <c r="Q83" s="23">
        <v>6.2930000000000001</v>
      </c>
      <c r="R83" s="23">
        <v>6.718</v>
      </c>
      <c r="S83" s="23">
        <v>6.0789999999999997</v>
      </c>
      <c r="T83" s="23">
        <v>8.6069999999999993</v>
      </c>
      <c r="U83" s="23">
        <v>11</v>
      </c>
      <c r="V83" s="23">
        <v>6</v>
      </c>
      <c r="W83" s="39"/>
      <c r="X83" s="35"/>
      <c r="Y83" s="35"/>
      <c r="Z83" s="35"/>
      <c r="AA83" s="35"/>
      <c r="AB83" s="35"/>
      <c r="AC83" s="35"/>
      <c r="AD83" s="35"/>
      <c r="AE83" s="35"/>
    </row>
    <row r="84" spans="2:31" s="23" customFormat="1" x14ac:dyDescent="0.2">
      <c r="B84" s="23" t="s">
        <v>97</v>
      </c>
      <c r="D84" s="56"/>
      <c r="F84" s="56"/>
      <c r="H84" s="56"/>
      <c r="J84" s="56"/>
      <c r="L84" s="56"/>
      <c r="O84" s="23">
        <f>SUM(O77:O83)</f>
        <v>750.55300000000011</v>
      </c>
      <c r="P84" s="23">
        <f t="shared" ref="P84:U84" si="85">SUM(P77:P83)</f>
        <v>959.8950000000001</v>
      </c>
      <c r="Q84" s="23">
        <f t="shared" si="85"/>
        <v>1130.8469999999995</v>
      </c>
      <c r="R84" s="23">
        <f t="shared" si="85"/>
        <v>1263.6180000000002</v>
      </c>
      <c r="S84" s="23">
        <f t="shared" si="85"/>
        <v>2702.7240000000002</v>
      </c>
      <c r="T84" s="23">
        <f t="shared" si="85"/>
        <v>2625.4860000000003</v>
      </c>
      <c r="U84" s="23">
        <f t="shared" si="85"/>
        <v>2892</v>
      </c>
      <c r="V84" s="23">
        <f>SUM(V77:V83)</f>
        <v>2867</v>
      </c>
      <c r="W84" s="39"/>
      <c r="X84" s="35"/>
      <c r="Y84" s="35"/>
      <c r="Z84" s="35"/>
      <c r="AA84" s="35"/>
      <c r="AB84" s="35"/>
      <c r="AC84" s="35"/>
      <c r="AD84" s="35"/>
      <c r="AE84" s="35"/>
    </row>
    <row r="85" spans="2:31" s="23" customFormat="1" x14ac:dyDescent="0.2">
      <c r="D85" s="56"/>
      <c r="F85" s="56"/>
      <c r="H85" s="56"/>
      <c r="J85" s="56"/>
      <c r="L85" s="56"/>
      <c r="W85" s="39"/>
      <c r="X85" s="35"/>
      <c r="Y85" s="35"/>
      <c r="Z85" s="35"/>
      <c r="AA85" s="35"/>
      <c r="AB85" s="35"/>
      <c r="AC85" s="35"/>
      <c r="AD85" s="35"/>
      <c r="AE85" s="35"/>
    </row>
    <row r="86" spans="2:31" s="23" customFormat="1" x14ac:dyDescent="0.2">
      <c r="B86" s="23" t="s">
        <v>99</v>
      </c>
      <c r="D86" s="56"/>
      <c r="F86" s="56"/>
      <c r="H86" s="56"/>
      <c r="J86" s="56"/>
      <c r="L86" s="56"/>
      <c r="O86" s="23">
        <v>814.35</v>
      </c>
      <c r="P86" s="23">
        <v>813.62099999999998</v>
      </c>
      <c r="Q86" s="23">
        <v>925.38499999999999</v>
      </c>
      <c r="R86" s="23">
        <v>1068.241</v>
      </c>
      <c r="S86" s="23">
        <v>867.399</v>
      </c>
      <c r="T86" s="23">
        <v>732.96799999999996</v>
      </c>
      <c r="U86" s="23">
        <v>746</v>
      </c>
      <c r="V86" s="23">
        <v>720</v>
      </c>
      <c r="W86" s="39"/>
      <c r="X86" s="35"/>
      <c r="Y86" s="35"/>
      <c r="Z86" s="35"/>
      <c r="AA86" s="35"/>
      <c r="AB86" s="35"/>
      <c r="AC86" s="35"/>
      <c r="AD86" s="35"/>
      <c r="AE86" s="35"/>
    </row>
    <row r="87" spans="2:31" s="23" customFormat="1" x14ac:dyDescent="0.2">
      <c r="B87" s="23" t="s">
        <v>100</v>
      </c>
      <c r="D87" s="56"/>
      <c r="F87" s="56"/>
      <c r="H87" s="56"/>
      <c r="J87" s="56"/>
      <c r="L87" s="56"/>
      <c r="O87" s="23">
        <f t="shared" ref="O87:P87" si="86">+O86+O84</f>
        <v>1564.9030000000002</v>
      </c>
      <c r="P87" s="23">
        <f t="shared" si="86"/>
        <v>1773.5160000000001</v>
      </c>
      <c r="Q87" s="23">
        <f t="shared" ref="Q87:V87" si="87">+Q86+Q84</f>
        <v>2056.2319999999995</v>
      </c>
      <c r="R87" s="23">
        <f t="shared" si="87"/>
        <v>2331.8590000000004</v>
      </c>
      <c r="S87" s="23">
        <f t="shared" si="87"/>
        <v>3570.123</v>
      </c>
      <c r="T87" s="23">
        <f t="shared" si="87"/>
        <v>3358.4540000000002</v>
      </c>
      <c r="U87" s="23">
        <f t="shared" si="87"/>
        <v>3638</v>
      </c>
      <c r="V87" s="23">
        <f t="shared" si="87"/>
        <v>3587</v>
      </c>
      <c r="W87" s="39"/>
      <c r="X87" s="35"/>
      <c r="Y87" s="35"/>
      <c r="Z87" s="35"/>
      <c r="AA87" s="35"/>
      <c r="AB87" s="35"/>
      <c r="AC87" s="35"/>
      <c r="AD87" s="35"/>
      <c r="AE87" s="35"/>
    </row>
    <row r="88" spans="2:31" s="23" customFormat="1" x14ac:dyDescent="0.2">
      <c r="D88" s="56"/>
      <c r="F88" s="56"/>
      <c r="H88" s="56"/>
      <c r="J88" s="56"/>
      <c r="L88" s="56"/>
      <c r="W88" s="39"/>
      <c r="X88" s="35"/>
      <c r="Y88" s="35"/>
      <c r="Z88" s="35"/>
      <c r="AA88" s="35"/>
      <c r="AB88" s="35"/>
      <c r="AC88" s="35"/>
      <c r="AD88" s="35"/>
      <c r="AE88" s="35"/>
    </row>
    <row r="89" spans="2:31" s="23" customFormat="1" x14ac:dyDescent="0.2">
      <c r="B89" s="23" t="s">
        <v>101</v>
      </c>
      <c r="D89" s="56"/>
      <c r="F89" s="56"/>
      <c r="H89" s="56"/>
      <c r="J89" s="56"/>
      <c r="L89" s="56"/>
      <c r="O89" s="23">
        <f t="shared" ref="O89:P89" si="88">O71-O84</f>
        <v>814.34999999999945</v>
      </c>
      <c r="P89" s="23">
        <f t="shared" si="88"/>
        <v>813.58100000000002</v>
      </c>
      <c r="Q89" s="23">
        <f t="shared" ref="Q89:S89" si="89">Q71-Q84</f>
        <v>926.01500000000055</v>
      </c>
      <c r="R89" s="23">
        <f t="shared" si="89"/>
        <v>1068.2409999999998</v>
      </c>
      <c r="S89" s="23">
        <f t="shared" si="89"/>
        <v>867.39899999999943</v>
      </c>
      <c r="T89" s="23">
        <f t="shared" ref="T89" si="90">T71-T84</f>
        <v>732.96799999999848</v>
      </c>
      <c r="U89" s="23">
        <f t="shared" ref="U89" si="91">U71-U84</f>
        <v>746</v>
      </c>
      <c r="V89" s="23">
        <f>V71-V84</f>
        <v>720</v>
      </c>
      <c r="W89" s="39"/>
      <c r="X89" s="35"/>
      <c r="Y89" s="35"/>
      <c r="Z89" s="35"/>
      <c r="AA89" s="35"/>
      <c r="AB89" s="35"/>
      <c r="AC89" s="35"/>
      <c r="AD89" s="35"/>
      <c r="AE89" s="35"/>
    </row>
    <row r="90" spans="2:31" s="38" customFormat="1" x14ac:dyDescent="0.2">
      <c r="B90" s="38" t="s">
        <v>102</v>
      </c>
      <c r="D90" s="60"/>
      <c r="F90" s="60"/>
      <c r="H90" s="60"/>
      <c r="J90" s="60"/>
      <c r="L90" s="60"/>
      <c r="O90" s="38">
        <f>O89/O22</f>
        <v>0.81396336740048425</v>
      </c>
      <c r="P90" s="38">
        <f>P89/P22</f>
        <v>0.81346060783004115</v>
      </c>
      <c r="Q90" s="38">
        <f>Q89/Q22</f>
        <v>0.92541255642576747</v>
      </c>
      <c r="R90" s="38">
        <f>R89/R22</f>
        <v>1.067158900874513</v>
      </c>
      <c r="S90" s="38">
        <f>S89/S22</f>
        <v>0.86690486422738977</v>
      </c>
      <c r="T90" s="38">
        <f>T89/T22</f>
        <v>0.73245894103597842</v>
      </c>
      <c r="U90" s="38">
        <f>U89/U22</f>
        <v>0.74520933289779545</v>
      </c>
      <c r="V90" s="38">
        <f>V89/V22</f>
        <v>0.71885486420132727</v>
      </c>
      <c r="W90" s="72"/>
      <c r="X90" s="113"/>
      <c r="Y90" s="113"/>
      <c r="Z90" s="113"/>
      <c r="AA90" s="113"/>
      <c r="AB90" s="113"/>
      <c r="AC90" s="113"/>
      <c r="AD90" s="113"/>
      <c r="AE90" s="113"/>
    </row>
    <row r="91" spans="2:31" s="23" customFormat="1" x14ac:dyDescent="0.2">
      <c r="D91" s="56"/>
      <c r="F91" s="56"/>
      <c r="H91" s="56"/>
      <c r="J91" s="56"/>
      <c r="L91" s="56"/>
      <c r="W91" s="39"/>
      <c r="X91" s="35"/>
      <c r="Y91" s="35"/>
      <c r="Z91" s="35"/>
      <c r="AA91" s="35"/>
      <c r="AB91" s="35"/>
      <c r="AC91" s="35"/>
      <c r="AD91" s="35"/>
      <c r="AE91" s="35"/>
    </row>
    <row r="92" spans="2:31" s="23" customFormat="1" x14ac:dyDescent="0.2">
      <c r="B92" s="23" t="s">
        <v>5</v>
      </c>
      <c r="D92" s="56"/>
      <c r="F92" s="56"/>
      <c r="H92" s="56"/>
      <c r="J92" s="56"/>
      <c r="L92" s="56"/>
      <c r="O92" s="23">
        <f t="shared" ref="O92:P92" si="92">+O66+O70</f>
        <v>95.917000000000002</v>
      </c>
      <c r="P92" s="23">
        <f t="shared" si="92"/>
        <v>155.92099999999999</v>
      </c>
      <c r="Q92" s="23">
        <f t="shared" ref="Q92:R92" si="93">+Q66+Q70</f>
        <v>90.816000000000003</v>
      </c>
      <c r="R92" s="23">
        <f t="shared" si="93"/>
        <v>89.983000000000004</v>
      </c>
      <c r="S92" s="23">
        <f t="shared" ref="S92" si="94">+S66+S70</f>
        <v>444.90699999999998</v>
      </c>
      <c r="T92" s="23">
        <f t="shared" ref="T92" si="95">+T66+T70</f>
        <v>221.44899999999998</v>
      </c>
      <c r="U92" s="23">
        <f t="shared" ref="U92" si="96">+U66+U70</f>
        <v>198</v>
      </c>
      <c r="V92" s="23">
        <f>+V66+V70</f>
        <v>238</v>
      </c>
      <c r="W92" s="39"/>
      <c r="X92" s="35"/>
      <c r="Y92" s="35"/>
      <c r="Z92" s="35"/>
      <c r="AA92" s="35"/>
      <c r="AB92" s="35"/>
      <c r="AC92" s="35"/>
      <c r="AD92" s="35"/>
      <c r="AE92" s="35"/>
    </row>
    <row r="93" spans="2:31" s="23" customFormat="1" x14ac:dyDescent="0.2">
      <c r="B93" s="23" t="s">
        <v>6</v>
      </c>
      <c r="D93" s="56"/>
      <c r="F93" s="56"/>
      <c r="H93" s="56"/>
      <c r="J93" s="56"/>
      <c r="L93" s="56"/>
      <c r="O93" s="23">
        <f t="shared" ref="O93:P93" si="97">+O73+O78</f>
        <v>451.18299999999999</v>
      </c>
      <c r="P93" s="23">
        <f t="shared" si="97"/>
        <v>561.61099999999999</v>
      </c>
      <c r="Q93" s="23">
        <f t="shared" ref="Q93:R93" si="98">+Q73+Q78</f>
        <v>630.95899999999995</v>
      </c>
      <c r="R93" s="23">
        <f t="shared" si="98"/>
        <v>692.85900000000004</v>
      </c>
      <c r="S93" s="23">
        <f t="shared" ref="S93" si="99">+S73+S78</f>
        <v>773.40800000000002</v>
      </c>
      <c r="T93" s="23">
        <f t="shared" ref="T93" si="100">+T73+T78</f>
        <v>730.61099999999999</v>
      </c>
      <c r="U93" s="23">
        <f t="shared" ref="U93" si="101">+U73+U78</f>
        <v>956</v>
      </c>
      <c r="V93" s="23">
        <f>+V73+V78</f>
        <v>954</v>
      </c>
      <c r="W93" s="39"/>
      <c r="X93" s="35"/>
      <c r="Y93" s="35"/>
      <c r="Z93" s="35"/>
      <c r="AA93" s="35"/>
      <c r="AB93" s="35"/>
      <c r="AC93" s="35"/>
      <c r="AD93" s="35"/>
      <c r="AE93" s="35"/>
    </row>
    <row r="94" spans="2:31" s="23" customFormat="1" x14ac:dyDescent="0.2">
      <c r="B94" s="23" t="s">
        <v>7</v>
      </c>
      <c r="D94" s="56"/>
      <c r="F94" s="56"/>
      <c r="H94" s="56"/>
      <c r="J94" s="56"/>
      <c r="L94" s="56"/>
      <c r="O94" s="23">
        <f t="shared" ref="O94:U94" si="102">O92-O93</f>
        <v>-355.26599999999996</v>
      </c>
      <c r="P94" s="23">
        <f t="shared" si="102"/>
        <v>-405.69</v>
      </c>
      <c r="Q94" s="23">
        <f t="shared" si="102"/>
        <v>-540.14299999999992</v>
      </c>
      <c r="R94" s="23">
        <f t="shared" si="102"/>
        <v>-602.87599999999998</v>
      </c>
      <c r="S94" s="23">
        <f t="shared" si="102"/>
        <v>-328.50100000000003</v>
      </c>
      <c r="T94" s="23">
        <f t="shared" si="102"/>
        <v>-509.16200000000003</v>
      </c>
      <c r="U94" s="23">
        <f t="shared" si="102"/>
        <v>-758</v>
      </c>
      <c r="V94" s="23">
        <f>V92-V93</f>
        <v>-716</v>
      </c>
      <c r="W94" s="39"/>
      <c r="X94" s="35"/>
      <c r="Y94" s="35"/>
      <c r="Z94" s="35"/>
      <c r="AA94" s="35"/>
      <c r="AB94" s="35"/>
      <c r="AC94" s="35"/>
      <c r="AD94" s="35"/>
      <c r="AE94" s="35"/>
    </row>
    <row r="95" spans="2:31" s="23" customFormat="1" x14ac:dyDescent="0.2">
      <c r="D95" s="56"/>
      <c r="F95" s="56"/>
      <c r="H95" s="56"/>
      <c r="J95" s="56"/>
      <c r="L95" s="56"/>
      <c r="W95" s="39"/>
      <c r="X95" s="35"/>
      <c r="Y95" s="35"/>
      <c r="Z95" s="35"/>
      <c r="AA95" s="35"/>
      <c r="AB95" s="35"/>
      <c r="AC95" s="35"/>
      <c r="AD95" s="35"/>
      <c r="AE95" s="35"/>
    </row>
    <row r="96" spans="2:31" s="22" customFormat="1" x14ac:dyDescent="0.2">
      <c r="B96" s="22" t="s">
        <v>103</v>
      </c>
      <c r="D96" s="55"/>
      <c r="F96" s="55"/>
      <c r="H96" s="55"/>
      <c r="J96" s="55"/>
      <c r="L96" s="55"/>
      <c r="O96" s="37" t="s">
        <v>73</v>
      </c>
      <c r="P96" s="28">
        <f t="shared" ref="P96:S96" si="103">P67/O67-1</f>
        <v>0.29695042546981298</v>
      </c>
      <c r="Q96" s="28">
        <f t="shared" si="103"/>
        <v>0.20897431181145976</v>
      </c>
      <c r="R96" s="28">
        <f t="shared" si="103"/>
        <v>0.20052444110329515</v>
      </c>
      <c r="S96" s="28">
        <f t="shared" si="103"/>
        <v>-0.12333145972766624</v>
      </c>
      <c r="T96" s="28">
        <f>T67/S67-1</f>
        <v>2.9125850340135928E-2</v>
      </c>
      <c r="U96" s="28">
        <f>U67/T67-1</f>
        <v>0.42614926478121928</v>
      </c>
      <c r="V96" s="28">
        <f>V67/U67-1</f>
        <v>-0.11471610660486675</v>
      </c>
      <c r="W96" s="69"/>
      <c r="X96" s="103"/>
      <c r="Y96" s="103"/>
      <c r="Z96" s="103"/>
      <c r="AA96" s="103"/>
      <c r="AB96" s="103"/>
      <c r="AC96" s="103"/>
      <c r="AD96" s="103"/>
      <c r="AE96" s="103"/>
    </row>
    <row r="97" spans="2:31" s="23" customFormat="1" x14ac:dyDescent="0.2">
      <c r="B97" s="23" t="s">
        <v>104</v>
      </c>
      <c r="D97" s="56"/>
      <c r="F97" s="56"/>
      <c r="H97" s="56"/>
      <c r="J97" s="56"/>
      <c r="L97" s="56"/>
      <c r="O97" s="37" t="s">
        <v>73</v>
      </c>
      <c r="P97" s="37" t="s">
        <v>73</v>
      </c>
      <c r="Q97" s="37" t="s">
        <v>73</v>
      </c>
      <c r="R97" s="37" t="s">
        <v>73</v>
      </c>
      <c r="S97" s="37" t="s">
        <v>73</v>
      </c>
      <c r="T97" s="37" t="s">
        <v>73</v>
      </c>
      <c r="U97" s="37" t="s">
        <v>73</v>
      </c>
      <c r="V97" s="37" t="s">
        <v>73</v>
      </c>
      <c r="W97" s="39"/>
      <c r="X97" s="35"/>
      <c r="Y97" s="35"/>
      <c r="Z97" s="35"/>
      <c r="AA97" s="35"/>
      <c r="AB97" s="35"/>
      <c r="AC97" s="35"/>
      <c r="AD97" s="35"/>
      <c r="AE97" s="35"/>
    </row>
    <row r="98" spans="2:31" s="23" customFormat="1" x14ac:dyDescent="0.2">
      <c r="B98" s="23" t="s">
        <v>126</v>
      </c>
      <c r="D98" s="56"/>
      <c r="F98" s="56"/>
      <c r="H98" s="56"/>
      <c r="J98" s="56"/>
      <c r="L98" s="56"/>
      <c r="O98" s="40">
        <f>O67/O4</f>
        <v>0.1750673738567326</v>
      </c>
      <c r="P98" s="40">
        <f>P67/P4</f>
        <v>0.19012079023804238</v>
      </c>
      <c r="Q98" s="40">
        <f>Q67/Q4</f>
        <v>0.18439818839646949</v>
      </c>
      <c r="R98" s="40">
        <f>R67/R4</f>
        <v>0.1923879075063929</v>
      </c>
      <c r="S98" s="40">
        <f>S67/S4</f>
        <v>0.15419363416301571</v>
      </c>
      <c r="T98" s="40">
        <f>T67/T4</f>
        <v>0.12603050136157493</v>
      </c>
      <c r="U98" s="40">
        <f>U67/U4</f>
        <v>0.18467793708538413</v>
      </c>
      <c r="V98" s="40">
        <f>V67/V4</f>
        <v>0.15332129239414008</v>
      </c>
      <c r="W98" s="39"/>
      <c r="X98" s="35"/>
      <c r="Y98" s="35"/>
      <c r="Z98" s="35"/>
      <c r="AA98" s="35"/>
      <c r="AB98" s="35"/>
      <c r="AC98" s="35"/>
      <c r="AD98" s="35"/>
      <c r="AE98" s="35"/>
    </row>
    <row r="100" spans="2:31" s="30" customFormat="1" x14ac:dyDescent="0.2">
      <c r="B100" s="30" t="s">
        <v>105</v>
      </c>
      <c r="D100" s="53"/>
      <c r="F100" s="53"/>
      <c r="H100" s="53"/>
      <c r="J100" s="53"/>
      <c r="L100" s="53"/>
      <c r="O100" s="30">
        <v>1.6907000000000001</v>
      </c>
      <c r="P100" s="30">
        <v>2.0636000000000001</v>
      </c>
      <c r="Q100" s="30">
        <v>2.6928999999999998</v>
      </c>
      <c r="R100" s="30">
        <v>2.6215999999999999</v>
      </c>
      <c r="S100" s="30">
        <v>2.0379999999999998</v>
      </c>
      <c r="T100" s="30">
        <v>4.5180999999999996</v>
      </c>
      <c r="U100" s="30">
        <v>5.0332999999999997</v>
      </c>
      <c r="V100" s="30">
        <v>4.6698000000000004</v>
      </c>
      <c r="W100" s="66"/>
      <c r="X100" s="104"/>
      <c r="Y100" s="104"/>
      <c r="Z100" s="104"/>
      <c r="AA100" s="104"/>
      <c r="AB100" s="104"/>
      <c r="AC100" s="104"/>
      <c r="AD100" s="104"/>
      <c r="AE100" s="104"/>
    </row>
    <row r="101" spans="2:31" s="35" customFormat="1" x14ac:dyDescent="0.2">
      <c r="B101" s="35" t="s">
        <v>106</v>
      </c>
      <c r="D101" s="58"/>
      <c r="F101" s="58"/>
      <c r="H101" s="58"/>
      <c r="J101" s="58"/>
      <c r="L101" s="58"/>
      <c r="O101" s="35">
        <f>O100*O22</f>
        <v>1691.5030825000001</v>
      </c>
      <c r="P101" s="35">
        <f>P100*P22</f>
        <v>2063.9054128000002</v>
      </c>
      <c r="Q101" s="35">
        <f>Q100*Q22</f>
        <v>2694.6530778999995</v>
      </c>
      <c r="R101" s="35">
        <f>R100*R22</f>
        <v>2624.2583024</v>
      </c>
      <c r="S101" s="35">
        <f>S100*S22</f>
        <v>2039.16166</v>
      </c>
      <c r="T101" s="35">
        <f>T100*T22</f>
        <v>4521.2400794999994</v>
      </c>
      <c r="U101" s="35">
        <f>U100*U22</f>
        <v>5038.6403313000001</v>
      </c>
      <c r="V101" s="35">
        <f>V100*V22</f>
        <v>4677.2389914000005</v>
      </c>
      <c r="W101" s="39"/>
    </row>
    <row r="102" spans="2:31" s="35" customFormat="1" x14ac:dyDescent="0.2">
      <c r="B102" s="35" t="s">
        <v>8</v>
      </c>
      <c r="D102" s="58"/>
      <c r="F102" s="58"/>
      <c r="H102" s="58"/>
      <c r="J102" s="58"/>
      <c r="L102" s="58"/>
      <c r="O102" s="35">
        <f t="shared" ref="O102:R102" si="104">O101-O94</f>
        <v>2046.7690825</v>
      </c>
      <c r="P102" s="35">
        <f t="shared" si="104"/>
        <v>2469.5954128000003</v>
      </c>
      <c r="Q102" s="35">
        <f t="shared" si="104"/>
        <v>3234.7960778999995</v>
      </c>
      <c r="R102" s="35">
        <f t="shared" si="104"/>
        <v>3227.1343023999998</v>
      </c>
      <c r="S102" s="35">
        <f t="shared" ref="S102" si="105">S101-S94</f>
        <v>2367.66266</v>
      </c>
      <c r="T102" s="35">
        <f t="shared" ref="T102" si="106">T101-T94</f>
        <v>5030.4020794999997</v>
      </c>
      <c r="U102" s="35">
        <f t="shared" ref="U102" si="107">U101-U94</f>
        <v>5796.6403313000001</v>
      </c>
      <c r="V102" s="35">
        <f>V101-V94</f>
        <v>5393.2389914000005</v>
      </c>
      <c r="W102" s="39"/>
    </row>
    <row r="104" spans="2:31" x14ac:dyDescent="0.2">
      <c r="B104" s="29" t="s">
        <v>29</v>
      </c>
    </row>
    <row r="105" spans="2:31" s="45" customFormat="1" x14ac:dyDescent="0.2">
      <c r="B105" s="45" t="s">
        <v>30</v>
      </c>
      <c r="D105" s="59"/>
      <c r="F105" s="59"/>
      <c r="H105" s="59"/>
      <c r="J105" s="59"/>
      <c r="L105" s="59"/>
      <c r="O105" s="48">
        <f t="shared" ref="O105:R105" si="108">O100/O90</f>
        <v>2.0771205040830125</v>
      </c>
      <c r="P105" s="48">
        <f t="shared" si="108"/>
        <v>2.5368161409865766</v>
      </c>
      <c r="Q105" s="48">
        <f t="shared" si="108"/>
        <v>2.9099453873857315</v>
      </c>
      <c r="R105" s="48">
        <f t="shared" si="108"/>
        <v>2.4566163463113666</v>
      </c>
      <c r="S105" s="48">
        <f t="shared" ref="S105:U105" si="109">S100/S90</f>
        <v>2.3508923344389392</v>
      </c>
      <c r="T105" s="48">
        <f t="shared" si="109"/>
        <v>6.1684003660460069</v>
      </c>
      <c r="U105" s="48">
        <f t="shared" si="109"/>
        <v>6.7542095593833773</v>
      </c>
      <c r="V105" s="48">
        <f>V100/V90</f>
        <v>6.4961652658333344</v>
      </c>
      <c r="W105" s="71"/>
      <c r="X105" s="112"/>
      <c r="Y105" s="112"/>
      <c r="Z105" s="112"/>
      <c r="AA105" s="112"/>
      <c r="AB105" s="112"/>
      <c r="AC105" s="112"/>
      <c r="AD105" s="112"/>
      <c r="AE105" s="112"/>
    </row>
    <row r="106" spans="2:31" s="45" customFormat="1" x14ac:dyDescent="0.2">
      <c r="B106" s="45" t="s">
        <v>31</v>
      </c>
      <c r="D106" s="59"/>
      <c r="F106" s="59"/>
      <c r="H106" s="59"/>
      <c r="J106" s="59"/>
      <c r="L106" s="59"/>
      <c r="O106" s="48">
        <f>O101/O4</f>
        <v>0.8310890526388196</v>
      </c>
      <c r="P106" s="48">
        <f>P101/P4</f>
        <v>0.84911316794615466</v>
      </c>
      <c r="Q106" s="48">
        <f>Q101/Q4</f>
        <v>0.88938256622049872</v>
      </c>
      <c r="R106" s="48">
        <f>R101/R4</f>
        <v>0.75273558387916106</v>
      </c>
      <c r="S106" s="48">
        <f>S101/S4</f>
        <v>0.53473766496817654</v>
      </c>
      <c r="T106" s="48">
        <f>T101/T4</f>
        <v>0.94164546556491024</v>
      </c>
      <c r="U106" s="48">
        <f>U101/U4</f>
        <v>1.0782453095013911</v>
      </c>
      <c r="V106" s="48">
        <f>V101/V4</f>
        <v>0.93863917146297426</v>
      </c>
      <c r="W106" s="71"/>
      <c r="X106" s="112"/>
      <c r="Y106" s="112"/>
      <c r="Z106" s="112"/>
      <c r="AA106" s="112"/>
      <c r="AB106" s="112"/>
      <c r="AC106" s="112"/>
      <c r="AD106" s="112"/>
      <c r="AE106" s="112"/>
    </row>
    <row r="107" spans="2:31" s="45" customFormat="1" x14ac:dyDescent="0.2">
      <c r="B107" s="45" t="s">
        <v>33</v>
      </c>
      <c r="D107" s="59"/>
      <c r="F107" s="59"/>
      <c r="H107" s="59"/>
      <c r="J107" s="59"/>
      <c r="L107" s="59"/>
      <c r="O107" s="48">
        <f>O100/O21</f>
        <v>12.971848360404286</v>
      </c>
      <c r="P107" s="48">
        <f>P100/P21</f>
        <v>14.026337373339246</v>
      </c>
      <c r="Q107" s="48">
        <f>Q100/Q21</f>
        <v>15.64176091378217</v>
      </c>
      <c r="R107" s="48">
        <f>R100/R21</f>
        <v>12.127671394637359</v>
      </c>
      <c r="S107" s="48">
        <f>S100/S21</f>
        <v>10.008941364720664</v>
      </c>
      <c r="T107" s="48">
        <f>T100/T21</f>
        <v>11.015271163254162</v>
      </c>
      <c r="U107" s="48">
        <f>U100/U21</f>
        <v>11.556514521330275</v>
      </c>
      <c r="V107" s="48">
        <f>V100/V21</f>
        <v>12.117199459585493</v>
      </c>
      <c r="W107" s="71"/>
      <c r="X107" s="112"/>
      <c r="Y107" s="112"/>
      <c r="Z107" s="112"/>
      <c r="AA107" s="112"/>
      <c r="AB107" s="112"/>
      <c r="AC107" s="112"/>
      <c r="AD107" s="112"/>
      <c r="AE107" s="112"/>
    </row>
    <row r="108" spans="2:31" s="36" customFormat="1" x14ac:dyDescent="0.2">
      <c r="B108" s="36" t="s">
        <v>32</v>
      </c>
      <c r="D108" s="61"/>
      <c r="F108" s="61"/>
      <c r="H108" s="61"/>
      <c r="J108" s="61"/>
      <c r="L108" s="61"/>
      <c r="O108" s="47">
        <f>O102/O4</f>
        <v>1.0056424935574133</v>
      </c>
      <c r="P108" s="47">
        <f>P102/P4</f>
        <v>1.0160184529304799</v>
      </c>
      <c r="Q108" s="47">
        <f>Q102/Q4</f>
        <v>1.0676592324844989</v>
      </c>
      <c r="R108" s="47">
        <f>R102/R4</f>
        <v>0.92566300396265944</v>
      </c>
      <c r="S108" s="47">
        <f>S102/S4</f>
        <v>0.62088181975760648</v>
      </c>
      <c r="T108" s="47">
        <f>T102/T4</f>
        <v>1.0476894004384114</v>
      </c>
      <c r="U108" s="47">
        <f>U102/U4</f>
        <v>1.2404537409158998</v>
      </c>
      <c r="V108" s="47">
        <f>V102/V4</f>
        <v>1.0823277125025086</v>
      </c>
      <c r="W108" s="73"/>
      <c r="X108" s="114"/>
      <c r="Y108" s="114"/>
      <c r="Z108" s="114"/>
      <c r="AA108" s="114"/>
      <c r="AB108" s="114"/>
      <c r="AC108" s="114"/>
      <c r="AD108" s="114"/>
      <c r="AE108" s="114"/>
    </row>
    <row r="109" spans="2:31" s="36" customFormat="1" x14ac:dyDescent="0.2">
      <c r="B109" s="36" t="s">
        <v>34</v>
      </c>
      <c r="D109" s="61"/>
      <c r="F109" s="61"/>
      <c r="H109" s="61"/>
      <c r="J109" s="61"/>
      <c r="L109" s="61"/>
      <c r="O109" s="47">
        <f>O102/O20</f>
        <v>15.696322662157375</v>
      </c>
      <c r="P109" s="47">
        <f>P102/P20</f>
        <v>16.78341372659624</v>
      </c>
      <c r="Q109" s="47">
        <f>Q102/Q20</f>
        <v>18.777150673059591</v>
      </c>
      <c r="R109" s="47">
        <f>R102/R20</f>
        <v>14.913785098851125</v>
      </c>
      <c r="S109" s="47">
        <f>S102/S20</f>
        <v>11.621342829375557</v>
      </c>
      <c r="T109" s="47">
        <f>T102/T20</f>
        <v>12.255762134183771</v>
      </c>
      <c r="U109" s="47">
        <f>U102/U20</f>
        <v>13.295046631422018</v>
      </c>
      <c r="V109" s="47">
        <f>V102/V20</f>
        <v>13.97212173937824</v>
      </c>
      <c r="W109" s="73"/>
      <c r="X109" s="114"/>
      <c r="Y109" s="114"/>
      <c r="Z109" s="114"/>
      <c r="AA109" s="114"/>
      <c r="AB109" s="114"/>
      <c r="AC109" s="114"/>
      <c r="AD109" s="114"/>
      <c r="AE109" s="114"/>
    </row>
    <row r="111" spans="2:31" s="36" customFormat="1" x14ac:dyDescent="0.2">
      <c r="B111" s="36" t="s">
        <v>129</v>
      </c>
      <c r="D111" s="61"/>
      <c r="F111" s="61"/>
      <c r="H111" s="61"/>
      <c r="J111" s="61"/>
      <c r="L111" s="61"/>
      <c r="O111" s="47">
        <f t="shared" ref="O111:R111" si="110">O93/O86</f>
        <v>0.55404064591391911</v>
      </c>
      <c r="P111" s="47">
        <f t="shared" si="110"/>
        <v>0.69026119040683565</v>
      </c>
      <c r="Q111" s="47">
        <f t="shared" si="110"/>
        <v>0.68183404745052056</v>
      </c>
      <c r="R111" s="47">
        <f t="shared" si="110"/>
        <v>0.64859802235637842</v>
      </c>
      <c r="S111" s="47">
        <f t="shared" ref="S111:U111" si="111">S93/S86</f>
        <v>0.89164041000738992</v>
      </c>
      <c r="T111" s="47">
        <f t="shared" si="111"/>
        <v>0.99678430709116905</v>
      </c>
      <c r="U111" s="47">
        <f t="shared" si="111"/>
        <v>1.2815013404825737</v>
      </c>
      <c r="V111" s="47">
        <f>V93/V86</f>
        <v>1.325</v>
      </c>
      <c r="W111" s="73"/>
      <c r="X111" s="114"/>
      <c r="Y111" s="114"/>
      <c r="Z111" s="114"/>
      <c r="AA111" s="114"/>
      <c r="AB111" s="114"/>
      <c r="AC111" s="114"/>
      <c r="AD111" s="114"/>
      <c r="AE111" s="114"/>
    </row>
  </sheetData>
  <hyperlinks>
    <hyperlink ref="V1" r:id="rId1" location="page=1" xr:uid="{E121E959-3971-4F0C-9D31-6597A2936EC2}"/>
    <hyperlink ref="T1" r:id="rId2" xr:uid="{7837FB7C-00FB-40DB-8535-E935902869EF}"/>
    <hyperlink ref="R1" r:id="rId3" xr:uid="{234D5C46-CFB8-4EFF-B019-5A96317C7ED5}"/>
    <hyperlink ref="P1" r:id="rId4" xr:uid="{3F26C874-BA3D-4574-85A7-9E2A3E0932A6}"/>
  </hyperlinks>
  <pageMargins left="0.7" right="0.7" top="0.75" bottom="0.75" header="0.3" footer="0.3"/>
  <pageSetup paperSize="125" orientation="portrait" horizontalDpi="203" verticalDpi="203" r:id="rId5"/>
  <ignoredErrors>
    <ignoredError sqref="S7 W7 W8:AE8 X7:Y7 W10:AE10 X9:AE9 Z7:AE7" formula="1"/>
    <ignoredError sqref="W11:W12 W17:W18" formulaRange="1"/>
    <ignoredError sqref="W9" formula="1" formulaRange="1"/>
  </ignoredErrors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2023-08-21T09:30:14Z</dcterms:created>
  <dcterms:modified xsi:type="dcterms:W3CDTF">2023-08-25T10:25:26Z</dcterms:modified>
</cp:coreProperties>
</file>