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CCF0C0F-C11B-4BE5-9720-2EBFEE52ADA7}" xr6:coauthVersionLast="36" xr6:coauthVersionMax="36" xr10:uidLastSave="{00000000-0000-0000-0000-000000000000}"/>
  <bookViews>
    <workbookView xWindow="0" yWindow="0" windowWidth="25680" windowHeight="10815" activeTab="1" xr2:uid="{F636B4A8-EC7C-4921-B859-E341E1291BEE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2" i="2" l="1"/>
  <c r="S82" i="2"/>
  <c r="R81" i="2"/>
  <c r="S81" i="2"/>
  <c r="R80" i="2"/>
  <c r="S80" i="2"/>
  <c r="R79" i="2"/>
  <c r="S79" i="2"/>
  <c r="R78" i="2"/>
  <c r="S78" i="2"/>
  <c r="R76" i="2"/>
  <c r="S76" i="2"/>
  <c r="R75" i="2"/>
  <c r="S75" i="2"/>
  <c r="C38" i="1"/>
  <c r="C37" i="1"/>
  <c r="C36" i="1"/>
  <c r="C35" i="1"/>
  <c r="D11" i="1"/>
  <c r="D10" i="1"/>
  <c r="D9" i="1"/>
  <c r="D7" i="1"/>
  <c r="C10" i="1"/>
  <c r="C9" i="1"/>
  <c r="C34" i="1"/>
  <c r="R68" i="2"/>
  <c r="S68" i="2"/>
  <c r="R67" i="2"/>
  <c r="S67" i="2"/>
  <c r="R65" i="2"/>
  <c r="S65" i="2"/>
  <c r="R71" i="2"/>
  <c r="R72" i="2" s="1"/>
  <c r="R70" i="2"/>
  <c r="S71" i="2"/>
  <c r="S72" i="2" s="1"/>
  <c r="S70" i="2"/>
  <c r="R47" i="2"/>
  <c r="R50" i="2" s="1"/>
  <c r="R54" i="2" s="1"/>
  <c r="S47" i="2"/>
  <c r="R59" i="2"/>
  <c r="R62" i="2" s="1"/>
  <c r="S59" i="2"/>
  <c r="S62" i="2" s="1"/>
  <c r="S50" i="2"/>
  <c r="S54" i="2" s="1"/>
  <c r="R30" i="2"/>
  <c r="R29" i="2"/>
  <c r="R28" i="2"/>
  <c r="R27" i="2"/>
  <c r="S30" i="2"/>
  <c r="S29" i="2"/>
  <c r="S28" i="2"/>
  <c r="S27" i="2"/>
  <c r="R24" i="2"/>
  <c r="S24" i="2"/>
  <c r="S36" i="2"/>
  <c r="S35" i="2"/>
  <c r="S34" i="2"/>
  <c r="S42" i="2"/>
  <c r="S41" i="2"/>
  <c r="S40" i="2"/>
  <c r="S23" i="2"/>
  <c r="R23" i="2"/>
  <c r="R21" i="2"/>
  <c r="S21" i="2"/>
  <c r="S18" i="2"/>
  <c r="R18" i="2"/>
  <c r="S17" i="2"/>
  <c r="R17" i="2"/>
  <c r="S13" i="2"/>
  <c r="R13" i="2"/>
  <c r="S33" i="2"/>
  <c r="S39" i="2"/>
  <c r="R11" i="2"/>
  <c r="S11" i="2"/>
  <c r="R7" i="2"/>
  <c r="S7" i="2"/>
  <c r="C8" i="1"/>
  <c r="C11" i="1"/>
  <c r="C12" i="1" l="1"/>
</calcChain>
</file>

<file path=xl/sharedStrings.xml><?xml version="1.0" encoding="utf-8"?>
<sst xmlns="http://schemas.openxmlformats.org/spreadsheetml/2006/main" count="112" uniqueCount="98">
  <si>
    <t>£TRN</t>
  </si>
  <si>
    <t>Trainline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</si>
  <si>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</si>
  <si>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</si>
  <si>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</si>
  <si>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</si>
  <si>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</si>
  <si>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</si>
  <si>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</si>
  <si>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</si>
  <si>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</si>
  <si>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</si>
  <si>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</si>
  <si>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</si>
  <si>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</si>
  <si>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</si>
  <si>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</si>
  <si>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</si>
  <si>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IPO</t>
  </si>
  <si>
    <t>Update</t>
  </si>
  <si>
    <t>IR</t>
  </si>
  <si>
    <t>P/B</t>
  </si>
  <si>
    <t>P/S</t>
  </si>
  <si>
    <t>EV/S</t>
  </si>
  <si>
    <t>P/E</t>
  </si>
  <si>
    <t>EV/E</t>
  </si>
  <si>
    <t>Valuation Metrics</t>
  </si>
  <si>
    <t>Key Events</t>
  </si>
  <si>
    <t>Jody Ford</t>
  </si>
  <si>
    <t>Peter Wood</t>
  </si>
  <si>
    <t>London, UK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</si>
  <si>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</si>
  <si>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</si>
  <si>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</si>
  <si>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</si>
  <si>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</si>
  <si>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</si>
  <si>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</si>
  <si>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</si>
  <si>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</si>
  <si>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</si>
  <si>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</si>
  <si>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</si>
  <si>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Link</t>
  </si>
  <si>
    <t>International</t>
  </si>
  <si>
    <t>UK</t>
  </si>
  <si>
    <t>Trainline Solutions</t>
  </si>
  <si>
    <t>Group Ticket Sales</t>
  </si>
  <si>
    <t>UK Revenue</t>
  </si>
  <si>
    <t xml:space="preserve">International </t>
  </si>
  <si>
    <t>Group Revenue</t>
  </si>
  <si>
    <t>Revenue Y/Y</t>
  </si>
  <si>
    <t>Revenue H/H</t>
  </si>
  <si>
    <t>Ticket Sales Y/Y</t>
  </si>
  <si>
    <t>Administrative</t>
  </si>
  <si>
    <t>Operating Profit</t>
  </si>
  <si>
    <t>D&amp;A</t>
  </si>
  <si>
    <t>Share-baed Payments</t>
  </si>
  <si>
    <t>Gross Profit</t>
  </si>
  <si>
    <t>COGS</t>
  </si>
  <si>
    <t>Adjusted EBITDA</t>
  </si>
  <si>
    <t>Finance Income</t>
  </si>
  <si>
    <t>Finance Costs</t>
  </si>
  <si>
    <t>Pretax Income</t>
  </si>
  <si>
    <t>Taxes</t>
  </si>
  <si>
    <t>Net Income</t>
  </si>
  <si>
    <t>EPS</t>
  </si>
  <si>
    <t>UK Tickets Y/Y</t>
  </si>
  <si>
    <t>Intl. Tickets Y/Y</t>
  </si>
  <si>
    <t>Trainline Tickets Y/Y</t>
  </si>
  <si>
    <t>UK Rev. Y/Y</t>
  </si>
  <si>
    <t>Intl. Rev. Y/Y</t>
  </si>
  <si>
    <t>Trainline.S Rev. Y/Y</t>
  </si>
  <si>
    <t>Gross Margin</t>
  </si>
  <si>
    <t>Operating Margin</t>
  </si>
  <si>
    <t>Net Margin</t>
  </si>
  <si>
    <t>Tax Margin</t>
  </si>
  <si>
    <t>Balance Sheet</t>
  </si>
  <si>
    <t>Goodwill+Intangibles</t>
  </si>
  <si>
    <t>PP&amp;E</t>
  </si>
  <si>
    <t>Deferred Taxes</t>
  </si>
  <si>
    <t>Total NCA</t>
  </si>
  <si>
    <t xml:space="preserve">Cash </t>
  </si>
  <si>
    <t>Trade &amp; A/R</t>
  </si>
  <si>
    <t>Tax Receivables</t>
  </si>
  <si>
    <t>Assets</t>
  </si>
  <si>
    <t>Trade &amp; A/P</t>
  </si>
  <si>
    <t>Loans &amp; Borrowings</t>
  </si>
  <si>
    <t>Curent Tax Payable</t>
  </si>
  <si>
    <t>TCL</t>
  </si>
  <si>
    <t>Provisions</t>
  </si>
  <si>
    <t>Liabilities</t>
  </si>
  <si>
    <t>S/E</t>
  </si>
  <si>
    <t>S/E+L</t>
  </si>
  <si>
    <t>Book Value</t>
  </si>
  <si>
    <t>Book Value per Share</t>
  </si>
  <si>
    <t xml:space="preserve">UK Government announce closure of almost all ticket stations across England </t>
  </si>
  <si>
    <t>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</si>
</sst>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#,##0.0"/>
    <numFmt numFmtId="173" formatCode="0.00000"/>
    <numFmt numFmtId="174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8" fontId="1" fillId="0" borderId="0" xfId="0" applyNumberFormat="1" applyFont="1" applyBorder="1"/>
    <xf numFmtId="168" fontId="1" fillId="0" borderId="7" xfId="0" applyNumberFormat="1" applyFont="1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16" fontId="4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left" indent="1"/>
    </xf>
    <xf numFmtId="3" fontId="3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3" fontId="7" fillId="0" borderId="0" xfId="0" applyNumberFormat="1" applyFont="1"/>
    <xf numFmtId="14" fontId="4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left" indent="1"/>
    </xf>
    <xf numFmtId="0" fontId="9" fillId="0" borderId="0" xfId="0" applyFont="1"/>
    <xf numFmtId="9" fontId="9" fillId="0" borderId="0" xfId="0" applyNumberFormat="1" applyFont="1"/>
    <xf numFmtId="4" fontId="1" fillId="0" borderId="0" xfId="0" applyNumberFormat="1" applyFont="1"/>
    <xf numFmtId="168" fontId="1" fillId="0" borderId="0" xfId="0" applyNumberFormat="1" applyFont="1"/>
    <xf numFmtId="0" fontId="10" fillId="0" borderId="0" xfId="0" applyFont="1"/>
    <xf numFmtId="168" fontId="2" fillId="0" borderId="0" xfId="0" applyNumberFormat="1" applyFont="1"/>
    <xf numFmtId="173" fontId="1" fillId="0" borderId="0" xfId="0" applyNumberFormat="1" applyFont="1"/>
    <xf numFmtId="174" fontId="1" fillId="4" borderId="0" xfId="0" applyNumberFormat="1" applyFont="1" applyFill="1" applyBorder="1" applyAlignment="1">
      <alignment horizontal="center"/>
    </xf>
    <xf numFmtId="174" fontId="1" fillId="4" borderId="5" xfId="0" applyNumberFormat="1" applyFont="1" applyFill="1" applyBorder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168" fontId="8" fillId="0" borderId="0" xfId="0" applyNumberFormat="1" applyFont="1"/>
    <xf numFmtId="174" fontId="1" fillId="4" borderId="7" xfId="0" applyNumberFormat="1" applyFont="1" applyFill="1" applyBorder="1" applyAlignment="1">
      <alignment horizontal="center"/>
    </xf>
    <xf numFmtId="174" fontId="1" fillId="4" borderId="8" xfId="0" applyNumberFormat="1" applyFont="1" applyFill="1" applyBorder="1" applyAlignment="1">
      <alignment horizontal="center"/>
    </xf>
    <xf numFmtId="17" fontId="2" fillId="3" borderId="4" xfId="0" applyNumberFormat="1" applyFont="1" applyFill="1" applyBorder="1" applyAlignment="1">
      <alignment horizontal="center"/>
    </xf>
    <xf numFmtId="0" fontId="6" fillId="4" borderId="0" xfId="1" applyFont="1" applyFill="1" applyBorder="1"/>
    <xf numFmtId="174" fontId="1" fillId="0" borderId="0" xfId="0" applyNumberFormat="1" applyFont="1"/>
    <xf numFmtId="17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0</xdr:row>
      <xdr:rowOff>57150</xdr:rowOff>
    </xdr:from>
    <xdr:to>
      <xdr:col>4</xdr:col>
      <xdr:colOff>133350</xdr:colOff>
      <xdr:row>3</xdr:row>
      <xdr:rowOff>66675</xdr:rowOff>
    </xdr:to>
    <xdr:pic>
      <xdr:nvPicPr>
        <xdr:cNvPr id="4" name="Picture 3" descr="C:\Users\me\AppData\Local\Microsoft\Windows\INetCache\Content.MSO\195A6A4B.tmp">
          <a:extLst>
            <a:ext uri="{FF2B5EF4-FFF2-40B4-BE49-F238E27FC236}">
              <a16:creationId xmlns:a16="http://schemas.microsoft.com/office/drawing/2014/main" id="{10A0B1D8-1258-4CAB-8D8D-787B85016986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29" b="23529"/>
        <a:stretch/>
      </xdr:blipFill>
      <xdr:spPr bwMode="auto">
        <a:xfrm>
          <a:off x="1647825" y="57150"/>
          <a:ext cx="923925" cy="495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0</xdr:rowOff>
    </xdr:from>
    <xdr:to>
      <xdr:col>19</xdr:col>
      <xdr:colOff>19050</xdr:colOff>
      <xdr:row>112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E919AE0-1FF5-40AB-91AB-526EBD3D6E6E}"/>
            </a:ext>
          </a:extLst>
        </xdr:cNvPr>
        <xdr:cNvCxnSpPr/>
      </xdr:nvCxnSpPr>
      <xdr:spPr>
        <a:xfrm>
          <a:off x="11849100" y="0"/>
          <a:ext cx="0" cy="16878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ews.sky.com/story/nearly-every-railway-ticket-office-in-england-set-to-close-under-new-plans-12915187" TargetMode="External"/><Relationship Id="rId1" Type="http://schemas.openxmlformats.org/officeDocument/2006/relationships/hyperlink" Target="https://www.trainlinegroup.com/investors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rn-13455-s3.s3.eu-west-2.amazonaws.com/media/7316/8546/4076/Trainline_plc_-_FY2023_Annual_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5A43-DB78-4C0E-810B-60F814142135}">
  <dimension ref="B2:O38"/>
  <sheetViews>
    <sheetView workbookViewId="0">
      <selection activeCell="C34" sqref="C34:D34"/>
    </sheetView>
  </sheetViews>
  <sheetFormatPr defaultRowHeight="12.75" x14ac:dyDescent="0.2"/>
  <cols>
    <col min="1" max="16384" width="9.140625" style="1"/>
  </cols>
  <sheetData>
    <row r="2" spans="2:15" x14ac:dyDescent="0.2">
      <c r="B2" s="2" t="s">
        <v>0</v>
      </c>
    </row>
    <row r="3" spans="2:15" x14ac:dyDescent="0.2">
      <c r="B3" s="2" t="s">
        <v>1</v>
      </c>
    </row>
    <row r="5" spans="2:15" x14ac:dyDescent="0.2">
      <c r="B5" s="3" t="s">
        <v>2</v>
      </c>
      <c r="C5" s="4"/>
      <c r="D5" s="5"/>
      <c r="F5" s="3" t="s">
        <v>27</v>
      </c>
      <c r="G5" s="4"/>
      <c r="H5" s="4"/>
      <c r="I5" s="4"/>
      <c r="J5" s="4"/>
      <c r="K5" s="4"/>
      <c r="L5" s="4"/>
      <c r="M5" s="4"/>
      <c r="N5" s="4"/>
      <c r="O5" s="5"/>
    </row>
    <row r="6" spans="2:15" x14ac:dyDescent="0.2">
      <c r="B6" s="6" t="s">
        <v>3</v>
      </c>
      <c r="C6" s="7">
        <v>2.1640000000000001</v>
      </c>
      <c r="D6" s="22"/>
      <c r="F6" s="15"/>
      <c r="G6" s="18"/>
      <c r="H6" s="18"/>
      <c r="I6" s="18"/>
      <c r="J6" s="18"/>
      <c r="K6" s="18"/>
      <c r="L6" s="18"/>
      <c r="M6" s="18"/>
      <c r="N6" s="18"/>
      <c r="O6" s="19"/>
    </row>
    <row r="7" spans="2:15" x14ac:dyDescent="0.2">
      <c r="B7" s="6" t="s">
        <v>4</v>
      </c>
      <c r="C7" s="24">
        <v>480.68</v>
      </c>
      <c r="D7" s="22" t="str">
        <f>+$C$29</f>
        <v>FY23</v>
      </c>
      <c r="F7" s="15"/>
      <c r="G7" s="18"/>
      <c r="H7" s="18"/>
      <c r="I7" s="18"/>
      <c r="J7" s="18"/>
      <c r="K7" s="18"/>
      <c r="L7" s="18"/>
      <c r="M7" s="18"/>
      <c r="N7" s="18"/>
      <c r="O7" s="19"/>
    </row>
    <row r="8" spans="2:15" x14ac:dyDescent="0.2">
      <c r="B8" s="6" t="s">
        <v>5</v>
      </c>
      <c r="C8" s="24">
        <f>C6*C7</f>
        <v>1040.1915200000001</v>
      </c>
      <c r="D8" s="22"/>
      <c r="F8" s="15"/>
      <c r="G8" s="18"/>
      <c r="H8" s="18"/>
      <c r="I8" s="18"/>
      <c r="J8" s="18"/>
      <c r="K8" s="18"/>
      <c r="L8" s="18"/>
      <c r="M8" s="18"/>
      <c r="N8" s="18"/>
      <c r="O8" s="19"/>
    </row>
    <row r="9" spans="2:15" x14ac:dyDescent="0.2">
      <c r="B9" s="6" t="s">
        <v>6</v>
      </c>
      <c r="C9" s="24">
        <f>+'Financial Model'!S70</f>
        <v>57.337000000000003</v>
      </c>
      <c r="D9" s="22" t="str">
        <f t="shared" ref="D9:D11" si="0">+$C$29</f>
        <v>FY23</v>
      </c>
      <c r="F9" s="56">
        <v>45108</v>
      </c>
      <c r="G9" s="57" t="s">
        <v>96</v>
      </c>
      <c r="H9" s="18"/>
      <c r="I9" s="18"/>
      <c r="J9" s="18"/>
      <c r="K9" s="18"/>
      <c r="L9" s="18"/>
      <c r="M9" s="18"/>
      <c r="N9" s="18"/>
      <c r="O9" s="19"/>
    </row>
    <row r="10" spans="2:15" x14ac:dyDescent="0.2">
      <c r="B10" s="6" t="s">
        <v>7</v>
      </c>
      <c r="C10" s="24">
        <f>+'Financial Model'!S71</f>
        <v>153.905</v>
      </c>
      <c r="D10" s="22" t="str">
        <f t="shared" si="0"/>
        <v>FY23</v>
      </c>
      <c r="F10" s="15"/>
      <c r="G10" s="18"/>
      <c r="H10" s="18"/>
      <c r="I10" s="18"/>
      <c r="J10" s="18"/>
      <c r="K10" s="18"/>
      <c r="L10" s="18"/>
      <c r="M10" s="18"/>
      <c r="N10" s="18"/>
      <c r="O10" s="19"/>
    </row>
    <row r="11" spans="2:15" x14ac:dyDescent="0.2">
      <c r="B11" s="6" t="s">
        <v>8</v>
      </c>
      <c r="C11" s="24">
        <f>C9-C10</f>
        <v>-96.567999999999998</v>
      </c>
      <c r="D11" s="22" t="str">
        <f t="shared" si="0"/>
        <v>FY23</v>
      </c>
      <c r="F11" s="15"/>
      <c r="G11" s="18"/>
      <c r="H11" s="18"/>
      <c r="I11" s="18"/>
      <c r="J11" s="18"/>
      <c r="K11" s="18"/>
      <c r="L11" s="18"/>
      <c r="M11" s="18"/>
      <c r="N11" s="18"/>
      <c r="O11" s="19"/>
    </row>
    <row r="12" spans="2:15" x14ac:dyDescent="0.2">
      <c r="B12" s="8" t="s">
        <v>9</v>
      </c>
      <c r="C12" s="25">
        <f>C8-C11</f>
        <v>1136.7595200000001</v>
      </c>
      <c r="D12" s="23"/>
      <c r="F12" s="15"/>
      <c r="G12" s="18"/>
      <c r="H12" s="18"/>
      <c r="I12" s="18"/>
      <c r="J12" s="18"/>
      <c r="K12" s="18"/>
      <c r="L12" s="18"/>
      <c r="M12" s="18"/>
      <c r="N12" s="18"/>
      <c r="O12" s="19"/>
    </row>
    <row r="13" spans="2:15" x14ac:dyDescent="0.2">
      <c r="F13" s="15"/>
      <c r="G13" s="18"/>
      <c r="H13" s="18"/>
      <c r="I13" s="18"/>
      <c r="J13" s="18"/>
      <c r="K13" s="18"/>
      <c r="L13" s="18"/>
      <c r="M13" s="18"/>
      <c r="N13" s="18"/>
      <c r="O13" s="19"/>
    </row>
    <row r="14" spans="2:15" x14ac:dyDescent="0.2">
      <c r="F14" s="15"/>
      <c r="G14" s="18"/>
      <c r="H14" s="18"/>
      <c r="I14" s="18"/>
      <c r="J14" s="18"/>
      <c r="K14" s="18"/>
      <c r="L14" s="18"/>
      <c r="M14" s="18"/>
      <c r="N14" s="18"/>
      <c r="O14" s="19"/>
    </row>
    <row r="15" spans="2:15" x14ac:dyDescent="0.2">
      <c r="B15" s="3" t="s">
        <v>10</v>
      </c>
      <c r="C15" s="4"/>
      <c r="D15" s="5"/>
      <c r="F15" s="15"/>
      <c r="G15" s="18"/>
      <c r="H15" s="18"/>
      <c r="I15" s="18"/>
      <c r="J15" s="18"/>
      <c r="K15" s="18"/>
      <c r="L15" s="18"/>
      <c r="M15" s="18"/>
      <c r="N15" s="18"/>
      <c r="O15" s="19"/>
    </row>
    <row r="16" spans="2:15" x14ac:dyDescent="0.2">
      <c r="B16" s="9" t="s">
        <v>11</v>
      </c>
      <c r="C16" s="10" t="s">
        <v>28</v>
      </c>
      <c r="D16" s="11"/>
      <c r="F16" s="15"/>
      <c r="G16" s="18"/>
      <c r="H16" s="18"/>
      <c r="I16" s="18"/>
      <c r="J16" s="18"/>
      <c r="K16" s="18"/>
      <c r="L16" s="18"/>
      <c r="M16" s="18"/>
      <c r="N16" s="18"/>
      <c r="O16" s="19"/>
    </row>
    <row r="17" spans="2:15" x14ac:dyDescent="0.2">
      <c r="B17" s="9" t="s">
        <v>12</v>
      </c>
      <c r="C17" s="10" t="s">
        <v>29</v>
      </c>
      <c r="D17" s="11"/>
      <c r="F17" s="15"/>
      <c r="G17" s="18"/>
      <c r="H17" s="18"/>
      <c r="I17" s="18"/>
      <c r="J17" s="18"/>
      <c r="K17" s="18"/>
      <c r="L17" s="18"/>
      <c r="M17" s="18"/>
      <c r="N17" s="18"/>
      <c r="O17" s="19"/>
    </row>
    <row r="18" spans="2:15" x14ac:dyDescent="0.2">
      <c r="B18" s="9" t="s">
        <v>13</v>
      </c>
      <c r="C18" s="10"/>
      <c r="D18" s="11"/>
      <c r="F18" s="15"/>
      <c r="G18" s="18"/>
      <c r="H18" s="18"/>
      <c r="I18" s="18"/>
      <c r="J18" s="18"/>
      <c r="K18" s="18"/>
      <c r="L18" s="18"/>
      <c r="M18" s="18"/>
      <c r="N18" s="18"/>
      <c r="O18" s="19"/>
    </row>
    <row r="19" spans="2:15" x14ac:dyDescent="0.2">
      <c r="B19" s="12" t="s">
        <v>14</v>
      </c>
      <c r="C19" s="13"/>
      <c r="D19" s="14"/>
      <c r="F19" s="15"/>
      <c r="G19" s="18"/>
      <c r="H19" s="18"/>
      <c r="I19" s="18"/>
      <c r="J19" s="18"/>
      <c r="K19" s="18"/>
      <c r="L19" s="18"/>
      <c r="M19" s="18"/>
      <c r="N19" s="18"/>
      <c r="O19" s="19"/>
    </row>
    <row r="20" spans="2:15" x14ac:dyDescent="0.2">
      <c r="F20" s="15"/>
      <c r="G20" s="18"/>
      <c r="H20" s="18"/>
      <c r="I20" s="18"/>
      <c r="J20" s="18"/>
      <c r="K20" s="18"/>
      <c r="L20" s="18"/>
      <c r="M20" s="18"/>
      <c r="N20" s="18"/>
      <c r="O20" s="19"/>
    </row>
    <row r="21" spans="2:15" x14ac:dyDescent="0.2">
      <c r="F21" s="15"/>
      <c r="G21" s="18"/>
      <c r="H21" s="18"/>
      <c r="I21" s="18"/>
      <c r="J21" s="18"/>
      <c r="K21" s="18"/>
      <c r="L21" s="18"/>
      <c r="M21" s="18"/>
      <c r="N21" s="18"/>
      <c r="O21" s="19"/>
    </row>
    <row r="22" spans="2:15" x14ac:dyDescent="0.2">
      <c r="B22" s="3" t="s">
        <v>15</v>
      </c>
      <c r="C22" s="4"/>
      <c r="D22" s="5"/>
      <c r="F22" s="15"/>
      <c r="G22" s="18"/>
      <c r="H22" s="18"/>
      <c r="I22" s="18"/>
      <c r="J22" s="18"/>
      <c r="K22" s="18"/>
      <c r="L22" s="18"/>
      <c r="M22" s="18"/>
      <c r="N22" s="18"/>
      <c r="O22" s="19"/>
    </row>
    <row r="23" spans="2:15" x14ac:dyDescent="0.2">
      <c r="B23" s="15" t="s">
        <v>16</v>
      </c>
      <c r="C23" s="10" t="s">
        <v>30</v>
      </c>
      <c r="D23" s="11"/>
      <c r="F23" s="15"/>
      <c r="G23" s="18"/>
      <c r="H23" s="18"/>
      <c r="I23" s="18"/>
      <c r="J23" s="18"/>
      <c r="K23" s="18"/>
      <c r="L23" s="18"/>
      <c r="M23" s="18"/>
      <c r="N23" s="18"/>
      <c r="O23" s="19"/>
    </row>
    <row r="24" spans="2:15" x14ac:dyDescent="0.2">
      <c r="B24" s="15" t="s">
        <v>17</v>
      </c>
      <c r="C24" s="10">
        <v>1997</v>
      </c>
      <c r="D24" s="11"/>
      <c r="F24" s="15"/>
      <c r="G24" s="18"/>
      <c r="H24" s="18"/>
      <c r="I24" s="18"/>
      <c r="J24" s="18"/>
      <c r="K24" s="18"/>
      <c r="L24" s="18"/>
      <c r="M24" s="18"/>
      <c r="N24" s="18"/>
      <c r="O24" s="19"/>
    </row>
    <row r="25" spans="2:15" x14ac:dyDescent="0.2">
      <c r="B25" s="15" t="s">
        <v>18</v>
      </c>
      <c r="C25" s="10">
        <v>2019</v>
      </c>
      <c r="D25" s="11"/>
      <c r="F25" s="15"/>
      <c r="G25" s="18"/>
      <c r="H25" s="18"/>
      <c r="I25" s="18"/>
      <c r="J25" s="18"/>
      <c r="K25" s="18"/>
      <c r="L25" s="18"/>
      <c r="M25" s="18"/>
      <c r="N25" s="18"/>
      <c r="O25" s="19"/>
    </row>
    <row r="26" spans="2:15" x14ac:dyDescent="0.2">
      <c r="B26" s="15"/>
      <c r="C26" s="10"/>
      <c r="D26" s="11"/>
      <c r="F26" s="15"/>
      <c r="G26" s="18"/>
      <c r="H26" s="18"/>
      <c r="I26" s="18"/>
      <c r="J26" s="18"/>
      <c r="K26" s="18"/>
      <c r="L26" s="18"/>
      <c r="M26" s="18"/>
      <c r="N26" s="18"/>
      <c r="O26" s="19"/>
    </row>
    <row r="27" spans="2:15" x14ac:dyDescent="0.2">
      <c r="B27" s="15"/>
      <c r="C27" s="10"/>
      <c r="D27" s="11"/>
      <c r="F27" s="15"/>
      <c r="G27" s="18"/>
      <c r="H27" s="18"/>
      <c r="I27" s="18"/>
      <c r="J27" s="18"/>
      <c r="K27" s="18"/>
      <c r="L27" s="18"/>
      <c r="M27" s="18"/>
      <c r="N27" s="18"/>
      <c r="O27" s="19"/>
    </row>
    <row r="28" spans="2:15" x14ac:dyDescent="0.2">
      <c r="B28" s="15"/>
      <c r="C28" s="10"/>
      <c r="D28" s="11"/>
      <c r="F28" s="15"/>
      <c r="G28" s="18"/>
      <c r="H28" s="18"/>
      <c r="I28" s="18"/>
      <c r="J28" s="18"/>
      <c r="K28" s="18"/>
      <c r="L28" s="18"/>
      <c r="M28" s="18"/>
      <c r="N28" s="18"/>
      <c r="O28" s="19"/>
    </row>
    <row r="29" spans="2:15" x14ac:dyDescent="0.2">
      <c r="B29" s="15" t="s">
        <v>19</v>
      </c>
      <c r="C29" s="17" t="s">
        <v>38</v>
      </c>
      <c r="D29" s="52">
        <v>45050</v>
      </c>
      <c r="F29" s="15"/>
      <c r="G29" s="18"/>
      <c r="H29" s="18"/>
      <c r="I29" s="18"/>
      <c r="J29" s="18"/>
      <c r="K29" s="18"/>
      <c r="L29" s="18"/>
      <c r="M29" s="18"/>
      <c r="N29" s="18"/>
      <c r="O29" s="19"/>
    </row>
    <row r="30" spans="2:15" x14ac:dyDescent="0.2">
      <c r="B30" s="16" t="s">
        <v>20</v>
      </c>
      <c r="C30" s="29" t="s">
        <v>43</v>
      </c>
      <c r="D30" s="30"/>
      <c r="F30" s="16"/>
      <c r="G30" s="20"/>
      <c r="H30" s="20"/>
      <c r="I30" s="20"/>
      <c r="J30" s="20"/>
      <c r="K30" s="20"/>
      <c r="L30" s="20"/>
      <c r="M30" s="20"/>
      <c r="N30" s="20"/>
      <c r="O30" s="21"/>
    </row>
    <row r="33" spans="2:4" x14ac:dyDescent="0.2">
      <c r="B33" s="3" t="s">
        <v>26</v>
      </c>
      <c r="C33" s="4"/>
      <c r="D33" s="5"/>
    </row>
    <row r="34" spans="2:4" x14ac:dyDescent="0.2">
      <c r="B34" s="15" t="s">
        <v>21</v>
      </c>
      <c r="C34" s="50">
        <f>C6/'Financial Model'!S68</f>
        <v>3.490808824981765</v>
      </c>
      <c r="D34" s="51"/>
    </row>
    <row r="35" spans="2:4" x14ac:dyDescent="0.2">
      <c r="B35" s="15" t="s">
        <v>22</v>
      </c>
      <c r="C35" s="50">
        <f>C8/'Financial Model'!S11</f>
        <v>3.1810138226299696</v>
      </c>
      <c r="D35" s="51"/>
    </row>
    <row r="36" spans="2:4" x14ac:dyDescent="0.2">
      <c r="B36" s="15" t="s">
        <v>23</v>
      </c>
      <c r="C36" s="50">
        <f>C12/'Financial Model'!S11</f>
        <v>3.4763288073394496</v>
      </c>
      <c r="D36" s="51"/>
    </row>
    <row r="37" spans="2:4" x14ac:dyDescent="0.2">
      <c r="B37" s="15" t="s">
        <v>24</v>
      </c>
      <c r="C37" s="50">
        <f>C6/'Financial Model'!S24</f>
        <v>48.152949222971074</v>
      </c>
      <c r="D37" s="51"/>
    </row>
    <row r="38" spans="2:4" x14ac:dyDescent="0.2">
      <c r="B38" s="16" t="s">
        <v>25</v>
      </c>
      <c r="C38" s="54">
        <f>C12/'Financial Model'!S23</f>
        <v>53.951567157095418</v>
      </c>
      <c r="D38" s="55"/>
    </row>
  </sheetData>
  <mergeCells count="21">
    <mergeCell ref="C35:D35"/>
    <mergeCell ref="C36:D36"/>
    <mergeCell ref="C37:D37"/>
    <mergeCell ref="C38:D38"/>
    <mergeCell ref="C28:D28"/>
    <mergeCell ref="C30:D30"/>
    <mergeCell ref="B33:D33"/>
    <mergeCell ref="C34:D34"/>
    <mergeCell ref="F5:O5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  <mergeCell ref="C19:D19"/>
  </mergeCells>
  <hyperlinks>
    <hyperlink ref="C30:D30" r:id="rId1" display="Link" xr:uid="{8A9A44CE-F7EB-4D03-AE15-02B36DE46C07}"/>
    <hyperlink ref="G9" r:id="rId2" xr:uid="{92206B8B-7017-47B4-B18C-098AD22D6333}"/>
  </hyperlinks>
  <pageMargins left="0.7" right="0.7" top="0.75" bottom="0.75" header="0.3" footer="0.3"/>
  <pageSetup paperSize="125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AB1B-C495-4E48-B467-D577C7D7AF48}">
  <dimension ref="B1:W82"/>
  <sheetViews>
    <sheetView tabSelected="1" workbookViewId="0">
      <pane xSplit="2" ySplit="3" topLeftCell="C49" activePane="bottomRight" state="frozen"/>
      <selection pane="topRight" activeCell="C1" sqref="C1"/>
      <selection pane="bottomLeft" activeCell="A4" sqref="A4"/>
      <selection pane="bottomRight" activeCell="U83" sqref="U83"/>
    </sheetView>
  </sheetViews>
  <sheetFormatPr defaultRowHeight="12.75" x14ac:dyDescent="0.2"/>
  <cols>
    <col min="1" max="1" width="4.28515625" style="1" customWidth="1"/>
    <col min="2" max="2" width="19.7109375" style="1" bestFit="1" customWidth="1"/>
    <col min="3" max="16384" width="9.140625" style="1"/>
  </cols>
  <sheetData>
    <row r="1" spans="2:23" s="28" customFormat="1" x14ac:dyDescent="0.2">
      <c r="L1" s="28" t="s">
        <v>31</v>
      </c>
      <c r="M1" s="28" t="s">
        <v>32</v>
      </c>
      <c r="N1" s="28" t="s">
        <v>33</v>
      </c>
      <c r="O1" s="28" t="s">
        <v>34</v>
      </c>
      <c r="P1" s="28" t="s">
        <v>35</v>
      </c>
      <c r="Q1" s="28" t="s">
        <v>36</v>
      </c>
      <c r="R1" s="28" t="s">
        <v>37</v>
      </c>
      <c r="S1" s="31" t="s">
        <v>38</v>
      </c>
      <c r="T1" s="28" t="s">
        <v>39</v>
      </c>
      <c r="U1" s="28" t="s">
        <v>40</v>
      </c>
      <c r="V1" s="28" t="s">
        <v>41</v>
      </c>
      <c r="W1" s="28" t="s">
        <v>42</v>
      </c>
    </row>
    <row r="2" spans="2:23" s="27" customFormat="1" x14ac:dyDescent="0.2">
      <c r="B2" s="26"/>
      <c r="R2" s="40">
        <v>44620</v>
      </c>
      <c r="S2" s="40">
        <v>44985</v>
      </c>
    </row>
    <row r="3" spans="2:23" s="27" customFormat="1" x14ac:dyDescent="0.2">
      <c r="B3" s="26"/>
      <c r="S3" s="32">
        <v>45050</v>
      </c>
    </row>
    <row r="4" spans="2:23" s="34" customFormat="1" x14ac:dyDescent="0.2">
      <c r="B4" s="33" t="s">
        <v>45</v>
      </c>
      <c r="R4" s="34">
        <v>1812</v>
      </c>
      <c r="S4" s="34">
        <v>2811</v>
      </c>
    </row>
    <row r="5" spans="2:23" s="34" customFormat="1" x14ac:dyDescent="0.2">
      <c r="B5" s="33" t="s">
        <v>44</v>
      </c>
      <c r="R5" s="34">
        <v>407</v>
      </c>
      <c r="S5" s="34">
        <v>915</v>
      </c>
    </row>
    <row r="6" spans="2:23" s="34" customFormat="1" x14ac:dyDescent="0.2">
      <c r="B6" s="33" t="s">
        <v>46</v>
      </c>
      <c r="R6" s="34">
        <v>302</v>
      </c>
      <c r="S6" s="34">
        <v>597</v>
      </c>
    </row>
    <row r="7" spans="2:23" s="36" customFormat="1" x14ac:dyDescent="0.2">
      <c r="B7" s="36" t="s">
        <v>47</v>
      </c>
      <c r="R7" s="36">
        <f>SUM(R4:R6)</f>
        <v>2521</v>
      </c>
      <c r="S7" s="36">
        <f>SUM(S4:S6)</f>
        <v>4323</v>
      </c>
    </row>
    <row r="8" spans="2:23" s="34" customFormat="1" x14ac:dyDescent="0.2">
      <c r="B8" s="33" t="s">
        <v>48</v>
      </c>
      <c r="R8" s="34">
        <v>109</v>
      </c>
      <c r="S8" s="34">
        <v>172</v>
      </c>
    </row>
    <row r="9" spans="2:23" s="34" customFormat="1" x14ac:dyDescent="0.2">
      <c r="B9" s="33" t="s">
        <v>49</v>
      </c>
      <c r="R9" s="34">
        <v>14</v>
      </c>
      <c r="S9" s="34">
        <v>45</v>
      </c>
    </row>
    <row r="10" spans="2:23" s="34" customFormat="1" x14ac:dyDescent="0.2">
      <c r="B10" s="33" t="s">
        <v>46</v>
      </c>
      <c r="R10" s="34">
        <v>66</v>
      </c>
      <c r="S10" s="34">
        <v>110</v>
      </c>
    </row>
    <row r="11" spans="2:23" s="36" customFormat="1" x14ac:dyDescent="0.2">
      <c r="B11" s="36" t="s">
        <v>50</v>
      </c>
      <c r="R11" s="36">
        <f t="shared" ref="R11" si="0">SUM(R8:R10)</f>
        <v>189</v>
      </c>
      <c r="S11" s="36">
        <f>SUM(S8:S10)</f>
        <v>327</v>
      </c>
    </row>
    <row r="12" spans="2:23" s="35" customFormat="1" x14ac:dyDescent="0.2">
      <c r="B12" s="35" t="s">
        <v>59</v>
      </c>
      <c r="R12" s="35">
        <v>44.625999999999998</v>
      </c>
      <c r="S12" s="35">
        <v>74.923000000000002</v>
      </c>
    </row>
    <row r="13" spans="2:23" s="36" customFormat="1" x14ac:dyDescent="0.2">
      <c r="B13" s="36" t="s">
        <v>58</v>
      </c>
      <c r="R13" s="36">
        <f>R11-R12</f>
        <v>144.374</v>
      </c>
      <c r="S13" s="36">
        <f>S11-S12</f>
        <v>252.077</v>
      </c>
    </row>
    <row r="14" spans="2:23" s="35" customFormat="1" x14ac:dyDescent="0.2">
      <c r="B14" s="35" t="s">
        <v>54</v>
      </c>
      <c r="R14" s="35">
        <v>154.19999999999999</v>
      </c>
      <c r="S14" s="35">
        <v>224.58500000000001</v>
      </c>
    </row>
    <row r="15" spans="2:23" x14ac:dyDescent="0.2">
      <c r="B15" s="1" t="s">
        <v>56</v>
      </c>
      <c r="R15" s="35">
        <v>42.576000000000001</v>
      </c>
      <c r="S15" s="35">
        <v>41.167000000000002</v>
      </c>
    </row>
    <row r="16" spans="2:23" s="35" customFormat="1" x14ac:dyDescent="0.2">
      <c r="B16" s="35" t="s">
        <v>57</v>
      </c>
      <c r="R16" s="35">
        <v>6.7830000000000004</v>
      </c>
      <c r="S16" s="35">
        <v>17.292000000000002</v>
      </c>
    </row>
    <row r="17" spans="2:19" s="39" customFormat="1" x14ac:dyDescent="0.2">
      <c r="B17" s="39" t="s">
        <v>60</v>
      </c>
      <c r="R17" s="39">
        <f>R13-R14+R15+R16</f>
        <v>39.533000000000008</v>
      </c>
      <c r="S17" s="39">
        <f>S13-S14+S15+S16</f>
        <v>85.950999999999993</v>
      </c>
    </row>
    <row r="18" spans="2:19" s="36" customFormat="1" x14ac:dyDescent="0.2">
      <c r="B18" s="36" t="s">
        <v>55</v>
      </c>
      <c r="R18" s="36">
        <f>R13-R14</f>
        <v>-9.8259999999999934</v>
      </c>
      <c r="S18" s="36">
        <f>S13-S14</f>
        <v>27.49199999999999</v>
      </c>
    </row>
    <row r="19" spans="2:19" s="35" customFormat="1" x14ac:dyDescent="0.2">
      <c r="B19" s="35" t="s">
        <v>61</v>
      </c>
      <c r="R19" s="35">
        <v>3.95</v>
      </c>
      <c r="S19" s="35">
        <v>4.7210000000000001</v>
      </c>
    </row>
    <row r="20" spans="2:19" s="35" customFormat="1" x14ac:dyDescent="0.2">
      <c r="B20" s="35" t="s">
        <v>62</v>
      </c>
      <c r="R20" s="35">
        <v>9.1790000000000003</v>
      </c>
      <c r="S20" s="35">
        <v>10.27</v>
      </c>
    </row>
    <row r="21" spans="2:19" s="35" customFormat="1" x14ac:dyDescent="0.2">
      <c r="B21" s="35" t="s">
        <v>63</v>
      </c>
      <c r="R21" s="35">
        <f>R18+R19-R20</f>
        <v>-15.054999999999993</v>
      </c>
      <c r="S21" s="35">
        <f>S18+S19-S20</f>
        <v>21.942999999999994</v>
      </c>
    </row>
    <row r="22" spans="2:19" s="35" customFormat="1" x14ac:dyDescent="0.2">
      <c r="B22" s="35" t="s">
        <v>64</v>
      </c>
      <c r="R22" s="35">
        <v>-3.637</v>
      </c>
      <c r="S22" s="35">
        <v>0.873</v>
      </c>
    </row>
    <row r="23" spans="2:19" s="36" customFormat="1" x14ac:dyDescent="0.2">
      <c r="B23" s="36" t="s">
        <v>65</v>
      </c>
      <c r="R23" s="36">
        <f>R21-R22</f>
        <v>-11.417999999999992</v>
      </c>
      <c r="S23" s="36">
        <f>S21-S22</f>
        <v>21.069999999999993</v>
      </c>
    </row>
    <row r="24" spans="2:19" s="45" customFormat="1" x14ac:dyDescent="0.2">
      <c r="B24" s="45" t="s">
        <v>66</v>
      </c>
      <c r="R24" s="45">
        <f>R23/R25</f>
        <v>-2.3907847371908712E-2</v>
      </c>
      <c r="S24" s="45">
        <f>S23/S25</f>
        <v>4.4940134195719773E-2</v>
      </c>
    </row>
    <row r="25" spans="2:19" s="46" customFormat="1" x14ac:dyDescent="0.2">
      <c r="B25" s="46" t="s">
        <v>4</v>
      </c>
      <c r="R25" s="46">
        <v>477.583775</v>
      </c>
      <c r="S25" s="46">
        <v>468.84595200000001</v>
      </c>
    </row>
    <row r="27" spans="2:19" s="37" customFormat="1" x14ac:dyDescent="0.2">
      <c r="B27" s="37" t="s">
        <v>73</v>
      </c>
      <c r="R27" s="37">
        <f t="shared" ref="R27:S27" si="1">R13/R11</f>
        <v>0.76388359788359783</v>
      </c>
      <c r="S27" s="37">
        <f>S13/S11</f>
        <v>0.77087767584097855</v>
      </c>
    </row>
    <row r="28" spans="2:19" s="37" customFormat="1" x14ac:dyDescent="0.2">
      <c r="B28" s="37" t="s">
        <v>74</v>
      </c>
      <c r="R28" s="37">
        <f t="shared" ref="R28:S28" si="2">R18/R11</f>
        <v>-5.1989417989417953E-2</v>
      </c>
      <c r="S28" s="37">
        <f>S18/S11</f>
        <v>8.4073394495412818E-2</v>
      </c>
    </row>
    <row r="29" spans="2:19" s="37" customFormat="1" x14ac:dyDescent="0.2">
      <c r="B29" s="37" t="s">
        <v>75</v>
      </c>
      <c r="R29" s="37">
        <f t="shared" ref="R29:S29" si="3">R23/R11</f>
        <v>-6.0412698412698369E-2</v>
      </c>
      <c r="S29" s="37">
        <f>S23/S11</f>
        <v>6.4434250764525969E-2</v>
      </c>
    </row>
    <row r="30" spans="2:19" s="37" customFormat="1" x14ac:dyDescent="0.2">
      <c r="B30" s="37" t="s">
        <v>76</v>
      </c>
      <c r="R30" s="37">
        <f t="shared" ref="R30:S30" si="4">R22/R21</f>
        <v>0.24158087014280982</v>
      </c>
      <c r="S30" s="37">
        <f>S22/S21</f>
        <v>3.9784897233741977E-2</v>
      </c>
    </row>
    <row r="33" spans="2:19" s="38" customFormat="1" x14ac:dyDescent="0.2">
      <c r="B33" s="38" t="s">
        <v>51</v>
      </c>
      <c r="S33" s="38">
        <f>S11/R11-1</f>
        <v>0.73015873015873023</v>
      </c>
    </row>
    <row r="34" spans="2:19" s="44" customFormat="1" x14ac:dyDescent="0.2">
      <c r="B34" s="42" t="s">
        <v>70</v>
      </c>
      <c r="S34" s="44">
        <f>S8/R8-1</f>
        <v>0.57798165137614688</v>
      </c>
    </row>
    <row r="35" spans="2:19" s="44" customFormat="1" x14ac:dyDescent="0.2">
      <c r="B35" s="42" t="s">
        <v>71</v>
      </c>
      <c r="S35" s="44">
        <f t="shared" ref="S35:S36" si="5">S9/R9-1</f>
        <v>2.2142857142857144</v>
      </c>
    </row>
    <row r="36" spans="2:19" s="44" customFormat="1" x14ac:dyDescent="0.2">
      <c r="B36" s="42" t="s">
        <v>72</v>
      </c>
      <c r="S36" s="44">
        <f t="shared" si="5"/>
        <v>0.66666666666666674</v>
      </c>
    </row>
    <row r="37" spans="2:19" x14ac:dyDescent="0.2">
      <c r="B37" s="1" t="s">
        <v>52</v>
      </c>
    </row>
    <row r="39" spans="2:19" s="38" customFormat="1" x14ac:dyDescent="0.2">
      <c r="B39" s="38" t="s">
        <v>53</v>
      </c>
      <c r="S39" s="38">
        <f>S7/R7-1</f>
        <v>0.71479571598571989</v>
      </c>
    </row>
    <row r="40" spans="2:19" s="43" customFormat="1" x14ac:dyDescent="0.2">
      <c r="B40" s="42" t="s">
        <v>67</v>
      </c>
      <c r="S40" s="44">
        <f>S4/R4-1</f>
        <v>0.55132450331125837</v>
      </c>
    </row>
    <row r="41" spans="2:19" s="43" customFormat="1" x14ac:dyDescent="0.2">
      <c r="B41" s="42" t="s">
        <v>68</v>
      </c>
      <c r="S41" s="44">
        <f t="shared" ref="S41:S42" si="6">S5/R5-1</f>
        <v>1.248157248157248</v>
      </c>
    </row>
    <row r="42" spans="2:19" s="43" customFormat="1" x14ac:dyDescent="0.2">
      <c r="B42" s="42" t="s">
        <v>69</v>
      </c>
      <c r="S42" s="44">
        <f t="shared" si="6"/>
        <v>0.97682119205298013</v>
      </c>
    </row>
    <row r="46" spans="2:19" x14ac:dyDescent="0.2">
      <c r="B46" s="47" t="s">
        <v>77</v>
      </c>
    </row>
    <row r="47" spans="2:19" s="46" customFormat="1" x14ac:dyDescent="0.2">
      <c r="B47" s="46" t="s">
        <v>78</v>
      </c>
      <c r="R47" s="46">
        <f>69.794+417.36</f>
        <v>487.154</v>
      </c>
      <c r="S47" s="46">
        <f>66.827+420.71</f>
        <v>487.53699999999998</v>
      </c>
    </row>
    <row r="48" spans="2:19" s="46" customFormat="1" x14ac:dyDescent="0.2">
      <c r="B48" s="46" t="s">
        <v>79</v>
      </c>
      <c r="R48" s="46">
        <v>24.876999999999999</v>
      </c>
      <c r="S48" s="46">
        <v>21.189</v>
      </c>
    </row>
    <row r="49" spans="2:19" s="46" customFormat="1" x14ac:dyDescent="0.2">
      <c r="B49" s="46" t="s">
        <v>80</v>
      </c>
      <c r="R49" s="46">
        <v>12.565</v>
      </c>
      <c r="S49" s="46">
        <v>26.95</v>
      </c>
    </row>
    <row r="50" spans="2:19" s="46" customFormat="1" x14ac:dyDescent="0.2">
      <c r="B50" s="46" t="s">
        <v>81</v>
      </c>
      <c r="R50" s="46">
        <f t="shared" ref="R50" si="7">SUM(R47:R49)</f>
        <v>524.596</v>
      </c>
      <c r="S50" s="46">
        <f>SUM(S47:S49)</f>
        <v>535.67600000000004</v>
      </c>
    </row>
    <row r="51" spans="2:19" s="48" customFormat="1" x14ac:dyDescent="0.2">
      <c r="B51" s="48" t="s">
        <v>82</v>
      </c>
      <c r="R51" s="48">
        <v>68.495999999999995</v>
      </c>
      <c r="S51" s="48">
        <v>57.337000000000003</v>
      </c>
    </row>
    <row r="52" spans="2:19" s="46" customFormat="1" x14ac:dyDescent="0.2">
      <c r="B52" s="46" t="s">
        <v>83</v>
      </c>
      <c r="R52" s="46">
        <v>48.314</v>
      </c>
      <c r="S52" s="46">
        <v>60.158000000000001</v>
      </c>
    </row>
    <row r="53" spans="2:19" s="46" customFormat="1" x14ac:dyDescent="0.2">
      <c r="B53" s="46" t="s">
        <v>84</v>
      </c>
      <c r="R53" s="46">
        <v>1.599</v>
      </c>
      <c r="S53" s="46">
        <v>0</v>
      </c>
    </row>
    <row r="54" spans="2:19" s="46" customFormat="1" x14ac:dyDescent="0.2">
      <c r="B54" s="46" t="s">
        <v>85</v>
      </c>
      <c r="R54" s="46">
        <f t="shared" ref="R54" si="8">SUM(R50:R53)</f>
        <v>643.005</v>
      </c>
      <c r="S54" s="46">
        <f>SUM(S50:S53)</f>
        <v>653.17100000000005</v>
      </c>
    </row>
    <row r="56" spans="2:19" s="46" customFormat="1" x14ac:dyDescent="0.2">
      <c r="B56" s="46" t="s">
        <v>86</v>
      </c>
      <c r="R56" s="46">
        <v>227.72900000000001</v>
      </c>
      <c r="S56" s="46">
        <v>200.202</v>
      </c>
    </row>
    <row r="57" spans="2:19" s="48" customFormat="1" x14ac:dyDescent="0.2">
      <c r="B57" s="48" t="s">
        <v>87</v>
      </c>
      <c r="R57" s="48">
        <v>4.9139999999999997</v>
      </c>
      <c r="S57" s="48">
        <v>4.891</v>
      </c>
    </row>
    <row r="58" spans="2:19" s="46" customFormat="1" x14ac:dyDescent="0.2">
      <c r="B58" s="46" t="s">
        <v>88</v>
      </c>
      <c r="R58" s="46">
        <v>0</v>
      </c>
      <c r="S58" s="46">
        <v>7.6420000000000003</v>
      </c>
    </row>
    <row r="59" spans="2:19" s="46" customFormat="1" x14ac:dyDescent="0.2">
      <c r="B59" s="46" t="s">
        <v>89</v>
      </c>
      <c r="R59" s="46">
        <f t="shared" ref="R59" si="9">SUM(R56:R58)</f>
        <v>232.643</v>
      </c>
      <c r="S59" s="46">
        <f>SUM(S56:S58)</f>
        <v>212.73499999999999</v>
      </c>
    </row>
    <row r="60" spans="2:19" s="48" customFormat="1" x14ac:dyDescent="0.2">
      <c r="B60" s="48" t="s">
        <v>87</v>
      </c>
      <c r="R60" s="48">
        <v>149.99600000000001</v>
      </c>
      <c r="S60" s="48">
        <v>149.01400000000001</v>
      </c>
    </row>
    <row r="61" spans="2:19" s="46" customFormat="1" x14ac:dyDescent="0.2">
      <c r="B61" s="46" t="s">
        <v>90</v>
      </c>
      <c r="R61" s="46">
        <v>0.873</v>
      </c>
      <c r="S61" s="46">
        <v>0.77800000000000002</v>
      </c>
    </row>
    <row r="62" spans="2:19" s="46" customFormat="1" x14ac:dyDescent="0.2">
      <c r="B62" s="46" t="s">
        <v>91</v>
      </c>
      <c r="R62" s="46">
        <f t="shared" ref="R62" si="10">SUM(R59:R61)</f>
        <v>383.512</v>
      </c>
      <c r="S62" s="46">
        <f>SUM(S59:S61)</f>
        <v>362.52700000000004</v>
      </c>
    </row>
    <row r="64" spans="2:19" s="46" customFormat="1" x14ac:dyDescent="0.2">
      <c r="B64" s="46" t="s">
        <v>92</v>
      </c>
      <c r="R64" s="46">
        <v>259.49299999999999</v>
      </c>
      <c r="S64" s="46">
        <v>290.66399999999999</v>
      </c>
    </row>
    <row r="65" spans="2:19" x14ac:dyDescent="0.2">
      <c r="B65" s="1" t="s">
        <v>93</v>
      </c>
      <c r="R65" s="46">
        <f t="shared" ref="R65" si="11">+R64+R62</f>
        <v>643.005</v>
      </c>
      <c r="S65" s="46">
        <f>+S64+S62</f>
        <v>653.19100000000003</v>
      </c>
    </row>
    <row r="67" spans="2:19" x14ac:dyDescent="0.2">
      <c r="B67" s="1" t="s">
        <v>94</v>
      </c>
      <c r="R67" s="46">
        <f t="shared" ref="R67:S67" si="12">R54-R62</f>
        <v>259.49299999999999</v>
      </c>
      <c r="S67" s="46">
        <f>S54-S62</f>
        <v>290.64400000000001</v>
      </c>
    </row>
    <row r="68" spans="2:19" s="49" customFormat="1" x14ac:dyDescent="0.2">
      <c r="B68" s="49" t="s">
        <v>95</v>
      </c>
      <c r="R68" s="49">
        <f>R67/R25</f>
        <v>0.54334551042903412</v>
      </c>
      <c r="S68" s="49">
        <f>S67/S25</f>
        <v>0.61991363849932524</v>
      </c>
    </row>
    <row r="70" spans="2:19" s="41" customFormat="1" x14ac:dyDescent="0.2">
      <c r="B70" s="41" t="s">
        <v>6</v>
      </c>
      <c r="R70" s="53">
        <f t="shared" ref="R70:S70" si="13">+R51</f>
        <v>68.495999999999995</v>
      </c>
      <c r="S70" s="53">
        <f>+S51</f>
        <v>57.337000000000003</v>
      </c>
    </row>
    <row r="71" spans="2:19" s="53" customFormat="1" x14ac:dyDescent="0.2">
      <c r="B71" s="53" t="s">
        <v>7</v>
      </c>
      <c r="R71" s="53">
        <f t="shared" ref="R71:S71" si="14">+R57+R60</f>
        <v>154.91</v>
      </c>
      <c r="S71" s="53">
        <f>+S57+S60</f>
        <v>153.905</v>
      </c>
    </row>
    <row r="72" spans="2:19" x14ac:dyDescent="0.2">
      <c r="B72" s="1" t="s">
        <v>8</v>
      </c>
      <c r="R72" s="46">
        <f t="shared" ref="R72" si="15">R70-R71</f>
        <v>-86.414000000000001</v>
      </c>
      <c r="S72" s="46">
        <f>S70-S71</f>
        <v>-96.567999999999998</v>
      </c>
    </row>
    <row r="74" spans="2:19" x14ac:dyDescent="0.2">
      <c r="B74" s="1" t="s">
        <v>97</v>
      </c>
      <c r="R74" s="1">
        <v>2.036</v>
      </c>
      <c r="S74" s="1">
        <v>2.5569999999999999</v>
      </c>
    </row>
    <row r="75" spans="2:19" s="46" customFormat="1" x14ac:dyDescent="0.2">
      <c r="B75" s="46" t="s">
        <v>5</v>
      </c>
      <c r="R75" s="46">
        <f t="shared" ref="R75" si="16">R74*R25</f>
        <v>972.36056589999998</v>
      </c>
      <c r="S75" s="46">
        <f>S74*S25</f>
        <v>1198.839099264</v>
      </c>
    </row>
    <row r="76" spans="2:19" s="46" customFormat="1" x14ac:dyDescent="0.2">
      <c r="B76" s="46" t="s">
        <v>9</v>
      </c>
      <c r="R76" s="46">
        <f>R75-R72</f>
        <v>1058.7745659</v>
      </c>
      <c r="S76" s="46">
        <f>S75-S72</f>
        <v>1295.407099264</v>
      </c>
    </row>
    <row r="78" spans="2:19" s="58" customFormat="1" x14ac:dyDescent="0.2">
      <c r="B78" s="58" t="s">
        <v>21</v>
      </c>
      <c r="R78" s="58">
        <f t="shared" ref="R78:S78" si="17">R74/R68</f>
        <v>3.7471552831868302</v>
      </c>
      <c r="S78" s="58">
        <f>S74/S68</f>
        <v>4.1247680986498949</v>
      </c>
    </row>
    <row r="79" spans="2:19" s="58" customFormat="1" x14ac:dyDescent="0.2">
      <c r="B79" s="58" t="s">
        <v>22</v>
      </c>
      <c r="R79" s="58">
        <f t="shared" ref="R79:S79" si="18">R75/R11</f>
        <v>5.1447648989417987</v>
      </c>
      <c r="S79" s="58">
        <f>S75/S11</f>
        <v>3.6661746154862382</v>
      </c>
    </row>
    <row r="80" spans="2:19" s="58" customFormat="1" x14ac:dyDescent="0.2">
      <c r="B80" s="58" t="s">
        <v>23</v>
      </c>
      <c r="R80" s="58">
        <f t="shared" ref="R80:S80" si="19">R76/R11</f>
        <v>5.6019818301587296</v>
      </c>
      <c r="S80" s="58">
        <f>S76/S11</f>
        <v>3.9614896001957187</v>
      </c>
    </row>
    <row r="81" spans="2:19" s="58" customFormat="1" x14ac:dyDescent="0.2">
      <c r="B81" s="58" t="s">
        <v>24</v>
      </c>
      <c r="R81" s="59">
        <f t="shared" ref="R81:S81" si="20">R74/R24</f>
        <v>-85.160322814853799</v>
      </c>
      <c r="S81" s="58">
        <f>S74/S24</f>
        <v>56.897916433981983</v>
      </c>
    </row>
    <row r="82" spans="2:19" s="58" customFormat="1" x14ac:dyDescent="0.2">
      <c r="B82" s="58" t="s">
        <v>25</v>
      </c>
      <c r="R82" s="59">
        <f t="shared" ref="R82:S82" si="21">R76/R23</f>
        <v>-92.728548423541838</v>
      </c>
      <c r="S82" s="58">
        <f>S76/S23</f>
        <v>61.481115294921707</v>
      </c>
    </row>
  </sheetData>
  <hyperlinks>
    <hyperlink ref="S1" r:id="rId1" xr:uid="{6D6E4B0E-5EA2-44BF-AF19-6B8D573D9238}"/>
  </hyperlinks>
  <pageMargins left="0.7" right="0.7" top="0.75" bottom="0.75" header="0.3" footer="0.3"/>
  <ignoredErrors>
    <ignoredError sqref="S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2023-08-22T16:14:35Z</dcterms:created>
  <dcterms:modified xsi:type="dcterms:W3CDTF">2023-08-22T18:21:34Z</dcterms:modified>
</cp:coreProperties>
</file>